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activeTab="2"/>
  </bookViews>
  <sheets>
    <sheet name="SO LIEU" sheetId="9" r:id="rId1"/>
    <sheet name="GIA TRI DAU TU" sheetId="6" r:id="rId2"/>
    <sheet name="PHAN KY" sheetId="8" r:id="rId3"/>
    <sheet name="Khai toan 100-200" sheetId="10" r:id="rId4"/>
    <sheet name="100-200" sheetId="11" r:id="rId5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2" i="8" l="1"/>
  <c r="E32" i="8"/>
  <c r="D32" i="8"/>
  <c r="H35" i="8"/>
  <c r="G35" i="8"/>
  <c r="F35" i="8"/>
  <c r="F34" i="8"/>
  <c r="C33" i="8"/>
  <c r="F33" i="8"/>
  <c r="J28" i="8"/>
  <c r="D27" i="8"/>
  <c r="E27" i="8"/>
  <c r="F27" i="8"/>
  <c r="G27" i="8"/>
  <c r="H27" i="8"/>
  <c r="H26" i="8"/>
  <c r="G26" i="8"/>
  <c r="F26" i="8"/>
  <c r="F24" i="8"/>
  <c r="E23" i="8"/>
  <c r="D22" i="8"/>
  <c r="H25" i="8"/>
  <c r="F25" i="8"/>
  <c r="H21" i="8"/>
  <c r="G21" i="8"/>
  <c r="F21" i="8"/>
  <c r="F20" i="8"/>
  <c r="E20" i="8"/>
  <c r="D20" i="8"/>
  <c r="C13" i="8"/>
  <c r="E18" i="6"/>
  <c r="F18" i="6"/>
  <c r="G18" i="6"/>
  <c r="H18" i="6"/>
  <c r="D18" i="6"/>
  <c r="C18" i="6"/>
  <c r="C17" i="6"/>
  <c r="D17" i="6"/>
  <c r="H15" i="6"/>
  <c r="G15" i="6"/>
  <c r="H16" i="6"/>
  <c r="G16" i="6"/>
  <c r="F16" i="6"/>
  <c r="F15" i="6" s="1"/>
  <c r="F14" i="6"/>
  <c r="E13" i="6"/>
  <c r="H10" i="6"/>
  <c r="H9" i="6"/>
  <c r="G9" i="6"/>
  <c r="F9" i="6"/>
  <c r="F10" i="6"/>
  <c r="E6" i="6"/>
  <c r="D6" i="6"/>
  <c r="C31" i="9"/>
  <c r="C22" i="9" l="1"/>
  <c r="C21" i="9"/>
  <c r="F6" i="8" l="1"/>
  <c r="E6" i="8"/>
  <c r="D6" i="8"/>
  <c r="H11" i="10" l="1"/>
  <c r="D11" i="10" s="1"/>
  <c r="H13" i="10"/>
  <c r="D13" i="10" s="1"/>
  <c r="C23" i="9" l="1"/>
  <c r="E11" i="6"/>
  <c r="F11" i="6"/>
  <c r="G11" i="6"/>
  <c r="H11" i="6"/>
  <c r="D11" i="6"/>
  <c r="G8" i="6"/>
  <c r="H8" i="6"/>
  <c r="F8" i="6"/>
  <c r="C11" i="6" l="1"/>
  <c r="C6" i="8"/>
  <c r="E13" i="9"/>
  <c r="F13" i="9"/>
  <c r="G13" i="9"/>
  <c r="H13" i="9"/>
  <c r="D13" i="9"/>
  <c r="C15" i="9"/>
  <c r="C16" i="9"/>
  <c r="C14" i="9"/>
  <c r="C13" i="9" l="1"/>
  <c r="H28" i="9" l="1"/>
  <c r="H24" i="9" s="1"/>
  <c r="H7" i="8" s="1"/>
  <c r="G28" i="9"/>
  <c r="G24" i="9" s="1"/>
  <c r="G7" i="8" s="1"/>
  <c r="F28" i="9"/>
  <c r="F24" i="9" s="1"/>
  <c r="F7" i="8" s="1"/>
  <c r="E28" i="9"/>
  <c r="E24" i="9" s="1"/>
  <c r="E7" i="8" s="1"/>
  <c r="D28" i="9"/>
  <c r="D24" i="9" s="1"/>
  <c r="D7" i="8" s="1"/>
  <c r="C30" i="9"/>
  <c r="C29" i="9"/>
  <c r="C27" i="9"/>
  <c r="C26" i="9"/>
  <c r="C25" i="9"/>
  <c r="C7" i="8" l="1"/>
  <c r="C28" i="9"/>
  <c r="C24" i="9" s="1"/>
  <c r="F17" i="9" l="1"/>
  <c r="E17" i="9"/>
  <c r="E15" i="6" s="1"/>
  <c r="H17" i="9"/>
  <c r="G17" i="9"/>
  <c r="D17" i="9"/>
  <c r="D15" i="6" s="1"/>
  <c r="H9" i="9"/>
  <c r="G9" i="9"/>
  <c r="F9" i="9"/>
  <c r="E9" i="9"/>
  <c r="E8" i="6" s="1"/>
  <c r="D9" i="9"/>
  <c r="D8" i="6" s="1"/>
  <c r="H5" i="9"/>
  <c r="H6" i="6" s="1"/>
  <c r="H5" i="8" s="1"/>
  <c r="G5" i="9"/>
  <c r="G6" i="6" s="1"/>
  <c r="G5" i="8" s="1"/>
  <c r="F5" i="9"/>
  <c r="F6" i="6" s="1"/>
  <c r="F5" i="8" s="1"/>
  <c r="E5" i="9"/>
  <c r="D5" i="9"/>
  <c r="C8" i="9"/>
  <c r="C7" i="9"/>
  <c r="C6" i="9"/>
  <c r="E5" i="8" l="1"/>
  <c r="C8" i="6"/>
  <c r="C15" i="6"/>
  <c r="C5" i="9"/>
  <c r="D22" i="9"/>
  <c r="D31" i="9" s="1"/>
  <c r="H22" i="9"/>
  <c r="H31" i="9" s="1"/>
  <c r="C6" i="6"/>
  <c r="G22" i="9"/>
  <c r="G31" i="9" s="1"/>
  <c r="E22" i="9"/>
  <c r="E31" i="9" s="1"/>
  <c r="D5" i="8" l="1"/>
  <c r="C5" i="8" s="1"/>
  <c r="C11" i="9"/>
  <c r="C12" i="9"/>
  <c r="C10" i="9"/>
  <c r="C19" i="9"/>
  <c r="C20" i="9"/>
  <c r="C18" i="9"/>
  <c r="C17" i="9" l="1"/>
  <c r="C9" i="9"/>
  <c r="C24" i="8"/>
  <c r="H36" i="8"/>
  <c r="G36" i="8"/>
  <c r="F36" i="8"/>
  <c r="E36" i="8"/>
  <c r="D36" i="8"/>
  <c r="C35" i="8"/>
  <c r="C34" i="8"/>
  <c r="C32" i="8"/>
  <c r="C26" i="8"/>
  <c r="C25" i="8"/>
  <c r="C23" i="8"/>
  <c r="C22" i="8"/>
  <c r="C21" i="8"/>
  <c r="C20" i="8"/>
  <c r="C27" i="8" l="1"/>
  <c r="C36" i="8"/>
  <c r="H6" i="10" l="1"/>
  <c r="E6" i="10" s="1"/>
  <c r="C5" i="11" s="1"/>
  <c r="C32" i="9"/>
  <c r="C20" i="11" l="1"/>
  <c r="H12" i="10" s="1"/>
  <c r="D12" i="10" s="1"/>
  <c r="C35" i="11"/>
  <c r="C10" i="11"/>
  <c r="C40" i="11"/>
  <c r="F6" i="10"/>
  <c r="G6" i="10" s="1"/>
  <c r="C15" i="11"/>
  <c r="H10" i="10" s="1"/>
  <c r="D10" i="10" s="1"/>
  <c r="C25" i="11"/>
  <c r="E11" i="10"/>
  <c r="F11" i="10" s="1"/>
  <c r="G11" i="10" s="1"/>
  <c r="E13" i="10"/>
  <c r="F13" i="10" s="1"/>
  <c r="G13" i="10" s="1"/>
  <c r="C30" i="11"/>
  <c r="H16" i="10" s="1"/>
  <c r="D16" i="10" s="1"/>
  <c r="H7" i="10"/>
  <c r="D7" i="10" s="1"/>
  <c r="E7" i="10"/>
  <c r="F7" i="10" s="1"/>
  <c r="G7" i="10" s="1"/>
  <c r="C8" i="8" s="1"/>
  <c r="E12" i="10" l="1"/>
  <c r="F12" i="10" s="1"/>
  <c r="G12" i="10" s="1"/>
  <c r="H17" i="10"/>
  <c r="D17" i="10" s="1"/>
  <c r="H14" i="10"/>
  <c r="D14" i="10" s="1"/>
  <c r="E9" i="10"/>
  <c r="F9" i="10" s="1"/>
  <c r="G9" i="10" s="1"/>
  <c r="H9" i="10"/>
  <c r="D9" i="10" s="1"/>
  <c r="H18" i="10"/>
  <c r="D18" i="10" s="1"/>
  <c r="E10" i="10"/>
  <c r="F10" i="10" s="1"/>
  <c r="G10" i="10" s="1"/>
  <c r="E14" i="10"/>
  <c r="F14" i="10" s="1"/>
  <c r="G14" i="10" s="1"/>
  <c r="F8" i="8"/>
  <c r="G8" i="8"/>
  <c r="E8" i="8"/>
  <c r="H8" i="8"/>
  <c r="D8" i="8"/>
  <c r="F22" i="9"/>
  <c r="F31" i="9" s="1"/>
  <c r="E8" i="10" l="1"/>
  <c r="F8" i="10" s="1"/>
  <c r="G8" i="10" s="1"/>
  <c r="E18" i="10" l="1"/>
  <c r="F18" i="10" s="1"/>
  <c r="G18" i="10" s="1"/>
  <c r="E16" i="10"/>
  <c r="F16" i="10" s="1"/>
  <c r="G16" i="10" s="1"/>
  <c r="E17" i="10"/>
  <c r="F17" i="10" s="1"/>
  <c r="G17" i="10" s="1"/>
  <c r="C9" i="8"/>
  <c r="E15" i="10" l="1"/>
  <c r="E21" i="10" s="1"/>
  <c r="H9" i="8"/>
  <c r="G9" i="8"/>
  <c r="D9" i="8"/>
  <c r="F9" i="8"/>
  <c r="E9" i="8"/>
  <c r="F15" i="10" l="1"/>
  <c r="G15" i="10" s="1"/>
  <c r="C10" i="8" s="1"/>
  <c r="F21" i="10"/>
  <c r="F19" i="10" s="1"/>
  <c r="E19" i="10"/>
  <c r="E22" i="10" s="1"/>
  <c r="G21" i="10" l="1"/>
  <c r="F22" i="10"/>
  <c r="H22" i="10" s="1"/>
  <c r="G19" i="10"/>
  <c r="F10" i="8"/>
  <c r="H10" i="8"/>
  <c r="G10" i="8"/>
  <c r="E10" i="8"/>
  <c r="D10" i="8"/>
  <c r="C11" i="8" l="1"/>
  <c r="G22" i="10"/>
  <c r="G23" i="10" s="1"/>
  <c r="H23" i="10" l="1"/>
  <c r="H24" i="10" s="1"/>
  <c r="F11" i="8"/>
  <c r="F12" i="8" s="1"/>
  <c r="D11" i="8"/>
  <c r="D12" i="8" s="1"/>
  <c r="G11" i="8"/>
  <c r="G12" i="8" s="1"/>
  <c r="H11" i="8"/>
  <c r="H12" i="8" s="1"/>
  <c r="E11" i="8"/>
  <c r="E12" i="8" s="1"/>
  <c r="C12" i="8"/>
</calcChain>
</file>

<file path=xl/comments1.xml><?xml version="1.0" encoding="utf-8"?>
<comments xmlns="http://schemas.openxmlformats.org/spreadsheetml/2006/main">
  <authors>
    <author>HAI PC</author>
    <author>Dell</author>
  </authors>
  <commentList>
    <comment ref="H6" authorId="0">
      <text>
        <r>
          <rPr>
            <b/>
            <sz val="11"/>
            <color indexed="81"/>
            <rFont val="Tahoma"/>
            <family val="2"/>
          </rPr>
          <t>HAI PC:</t>
        </r>
        <r>
          <rPr>
            <sz val="11"/>
            <color indexed="81"/>
            <rFont val="Tahoma"/>
            <family val="2"/>
          </rPr>
          <t xml:space="preserve">
Nhập giá trị thiết bị sau thuế vào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=Gtb x Nt (Nội suy)</t>
        </r>
      </text>
    </comment>
    <comment ref="D9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=Gtb x Nt (Nội suy)</t>
        </r>
      </text>
    </comment>
    <comment ref="D10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=Gtb x Nt (Nội suy)</t>
        </r>
      </text>
    </comment>
    <comment ref="D11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=Gtb x Nt (Nội suy)</t>
        </r>
      </text>
    </comment>
    <comment ref="D12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=Gtb x Nt (Nội suy)</t>
        </r>
      </text>
    </comment>
    <comment ref="D13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=Gtb x Nt (Nội suy)</t>
        </r>
      </text>
    </comment>
    <comment ref="D14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=Gtb x Nt (Nội suy)</t>
        </r>
      </text>
    </comment>
    <comment ref="D16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x70% là trường hợp chi phí tbi trên 50%</t>
        </r>
      </text>
    </comment>
    <comment ref="D17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x70% là trường hợp chi phí tbi trên 50%</t>
        </r>
      </text>
    </comment>
    <comment ref="D20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thiết bị sẽ k có phát sinh, chỉ có xây dựng mới có
</t>
        </r>
      </text>
    </comment>
    <comment ref="D21" authorId="1">
      <text>
        <r>
          <rPr>
            <b/>
            <sz val="9"/>
            <color indexed="81"/>
            <rFont val="Tahoma"/>
            <family val="2"/>
            <charset val="163"/>
          </rPr>
          <t>Dell:</t>
        </r>
        <r>
          <rPr>
            <sz val="9"/>
            <color indexed="81"/>
            <rFont val="Tahoma"/>
            <family val="2"/>
            <charset val="163"/>
          </rPr>
          <t xml:space="preserve">
di động từ 0-5%</t>
        </r>
      </text>
    </comment>
  </commentList>
</comments>
</file>

<file path=xl/sharedStrings.xml><?xml version="1.0" encoding="utf-8"?>
<sst xmlns="http://schemas.openxmlformats.org/spreadsheetml/2006/main" count="182" uniqueCount="121">
  <si>
    <t>I</t>
  </si>
  <si>
    <t>II</t>
  </si>
  <si>
    <t>III</t>
  </si>
  <si>
    <t>IV</t>
  </si>
  <si>
    <t>V</t>
  </si>
  <si>
    <t>VI</t>
  </si>
  <si>
    <t>TT</t>
  </si>
  <si>
    <t>Khoa Động lực</t>
  </si>
  <si>
    <t>Khoa Cơ khí</t>
  </si>
  <si>
    <t>Khoa Điện - Điện tử</t>
  </si>
  <si>
    <t xml:space="preserve">Tổng giá trị thiết bị đầu tư </t>
  </si>
  <si>
    <t>CỘNG</t>
  </si>
  <si>
    <t>TÊN KHOA</t>
  </si>
  <si>
    <t>Chi phí thiết bị</t>
  </si>
  <si>
    <t>Chi phí quản lý dự án</t>
  </si>
  <si>
    <t>Chi phí tư vấn</t>
  </si>
  <si>
    <t>Chi phí lập báo cáo nghiên cứu khả thi</t>
  </si>
  <si>
    <t>Chi phí thẩm tra báo cáo nghiên cứu khả thi</t>
  </si>
  <si>
    <t>Chi phí thẩm định giá thiết bị</t>
  </si>
  <si>
    <t xml:space="preserve">Chi phí thẩm định kết quả lựa chọn nhà thầu cung cấp thiết bị </t>
  </si>
  <si>
    <t>Chi phí giám sát lắp đặt thiết bị</t>
  </si>
  <si>
    <t>CHI PHÍ KHÁC</t>
  </si>
  <si>
    <t>Chi phí thẩm tra quyết toán vốn</t>
  </si>
  <si>
    <t>Chi phí Kiểm toán</t>
  </si>
  <si>
    <t>Chi phí thẩm định dự án</t>
  </si>
  <si>
    <t>CHI PHÍ DỰ PHÒNG</t>
  </si>
  <si>
    <t>Chi phí dự phòng do trượt giá</t>
  </si>
  <si>
    <t xml:space="preserve">TỔNG KHÁI TOÁN </t>
  </si>
  <si>
    <t>TỔNG KHÁI TOÁN (làm tròn)</t>
  </si>
  <si>
    <t>Ký hiệu</t>
  </si>
  <si>
    <t>Gtb</t>
  </si>
  <si>
    <t>Gql</t>
  </si>
  <si>
    <t>Gtv</t>
  </si>
  <si>
    <t>Gk</t>
  </si>
  <si>
    <t>Cách tính</t>
  </si>
  <si>
    <t>Giá trị trước thuế</t>
  </si>
  <si>
    <t>Thuế VAT</t>
  </si>
  <si>
    <t>Thành tiền sau thuế</t>
  </si>
  <si>
    <t>PHÂN KỲ ĐẦU TƯ DỰ ÁN</t>
  </si>
  <si>
    <t>Hạng mục</t>
  </si>
  <si>
    <t xml:space="preserve">Tổng giá trị </t>
  </si>
  <si>
    <t>Khoa Công nghệ thông tin</t>
  </si>
  <si>
    <t>Giai đoạn
2020 - 2021</t>
  </si>
  <si>
    <t>Giai đoạn
2021 - 2022</t>
  </si>
  <si>
    <t>Giai đoạn
2022 - 2023</t>
  </si>
  <si>
    <t>Giai đoạn
2023 - 2024</t>
  </si>
  <si>
    <t>Giai đoạn
2024 - 2025</t>
  </si>
  <si>
    <t>BẢNG KHÁI TOÁN</t>
  </si>
  <si>
    <t>NỘI DUNG</t>
  </si>
  <si>
    <t>CHI PHÍ QUẢN LÝ DỰ ÁN</t>
  </si>
  <si>
    <t>CHI PHÍ TƯ VẤN</t>
  </si>
  <si>
    <t> Gdp</t>
  </si>
  <si>
    <t>Gdp=Gdp1+Gdp2 </t>
  </si>
  <si>
    <t> Gdp2</t>
  </si>
  <si>
    <t>(Gtb + Gql + Gtv + Gk) x 5%</t>
  </si>
  <si>
    <t>VII</t>
  </si>
  <si>
    <t>ĐVT:  đồng</t>
  </si>
  <si>
    <t>Kế hoạch đầu tư</t>
  </si>
  <si>
    <t>Chi phí khác</t>
  </si>
  <si>
    <t>Chi phí dự phòng</t>
  </si>
  <si>
    <t>ĐVT: đồng</t>
  </si>
  <si>
    <t>Giai đoạn</t>
  </si>
  <si>
    <t>2020 - 2021</t>
  </si>
  <si>
    <t>2021 - 2022</t>
  </si>
  <si>
    <t>2022 - 2023</t>
  </si>
  <si>
    <t>2023 - 2024</t>
  </si>
  <si>
    <t>2024 - 2025</t>
  </si>
  <si>
    <t>Công nghệ Ô tô</t>
  </si>
  <si>
    <t>Công nghệ chế tạo máy</t>
  </si>
  <si>
    <t>Điện Công nghiệp</t>
  </si>
  <si>
    <t>Cơ điện tử</t>
  </si>
  <si>
    <t>Công nghệ kỹ thuật điện điện tử</t>
  </si>
  <si>
    <t>Công nghệ kỹ thuật cơ khí</t>
  </si>
  <si>
    <t>Quản trị mang máy tính</t>
  </si>
  <si>
    <r>
      <t> </t>
    </r>
    <r>
      <rPr>
        <b/>
        <sz val="13"/>
        <color theme="1"/>
        <rFont val="Times New Roman"/>
        <family val="1"/>
      </rPr>
      <t>TỔNG ĐẦU TƯ (1-7)</t>
    </r>
  </si>
  <si>
    <t xml:space="preserve"> NGHỀ ĐẦU TƯ</t>
  </si>
  <si>
    <t>Khoa CNTT</t>
  </si>
  <si>
    <t>P. thực hành mạng máy tính</t>
  </si>
  <si>
    <t>P. Thiết kế đồ họa</t>
  </si>
  <si>
    <t>P. Chuyên ngành lập trình máy tính</t>
  </si>
  <si>
    <t>P.học cơ khí công nghệ cao</t>
  </si>
  <si>
    <t>P.Thực hành Thủy lực-Khí nén</t>
  </si>
  <si>
    <t>Xưởng khuôn mẫu</t>
  </si>
  <si>
    <t>Chi phí kiểm định Trường</t>
  </si>
  <si>
    <t>Chi phí kiểm định Chương trình đào tạo</t>
  </si>
  <si>
    <t>Phát triển chương trình đào tạo</t>
  </si>
  <si>
    <t>Chi phí đào tạo GV</t>
  </si>
  <si>
    <t>- Kỹ năng nghề</t>
  </si>
  <si>
    <t>- Ngoại ngữ</t>
  </si>
  <si>
    <t>Điện công nghiệp</t>
  </si>
  <si>
    <t>Khoa Điện công nghiệp</t>
  </si>
  <si>
    <t>Công nghệ kỹ thuật Đ-ĐT</t>
  </si>
  <si>
    <t>TỔNG DỰ TOÁN ĐỀ ÁN</t>
  </si>
  <si>
    <t>Chi phí từng năm</t>
  </si>
  <si>
    <t>Nghề CN Ô tô</t>
  </si>
  <si>
    <t>Nghề CN Chế tạo máy</t>
  </si>
  <si>
    <t>Nghề CN Kỹ thuật Cơ khí</t>
  </si>
  <si>
    <t>Nghề Điện công nghiệp</t>
  </si>
  <si>
    <t>Nghề Cơ điện tử</t>
  </si>
  <si>
    <t>Nghề CN kỹ thuật điện, điện tử</t>
  </si>
  <si>
    <t>Nghề Quản trị mạng máy tính</t>
  </si>
  <si>
    <t>Chi phí xây dựng</t>
  </si>
  <si>
    <t>Chi phí đào tạo</t>
  </si>
  <si>
    <t>CHI PHÍ ĐÀO TẠO</t>
  </si>
  <si>
    <t>Gdp1</t>
  </si>
  <si>
    <t>Chi phí dự phòng do khối lượng công việc phát sinh</t>
  </si>
  <si>
    <t>Chi phí lập hồ sơ mời thầu, đánh giá hồ sơ dự thầu mua sắm vậy tư thiết bị</t>
  </si>
  <si>
    <t>Nt</t>
  </si>
  <si>
    <t>Chi phí kiểm toán</t>
  </si>
  <si>
    <t>TỔNG ĐẦU TƯ  (1-7)</t>
  </si>
  <si>
    <t xml:space="preserve">CHI PHÍ CẢI TẠO, XÂY DỰNG PHÒNG HỌC, XƯỞNG THỰC HÀNH, KÝ TÚC XÁ </t>
  </si>
  <si>
    <t>Xưởng ……</t>
  </si>
  <si>
    <t>Xưởng……</t>
  </si>
  <si>
    <t>Thiết bị quản trị nhà trường</t>
  </si>
  <si>
    <t>GIÁ TRỊ THIẾT BỊ I-V</t>
  </si>
  <si>
    <t>I - VII</t>
  </si>
  <si>
    <t>CHI PHÍ THIẾT BỊ, XÂY DỰNG, ĐÀO TẠO</t>
  </si>
  <si>
    <t>TỔNG GIÁ TRỊ ĐẦU TƯ THIẾT BỊ  ĐÀO TẠO VÀ PHỤC VỤ QUẢN TRỊ NHÀ TRƯỜNG</t>
  </si>
  <si>
    <t>Thiết bị phục vụ công tác quản trị nhà trường</t>
  </si>
  <si>
    <t>CỘNG (1+2+3+4+5)</t>
  </si>
  <si>
    <t xml:space="preserve">   TỔNG ĐẦU TƯ     làm tròn)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</si>
</sst>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_(* #.##0._);_(* \(#.##0.\);_(* &quot;-&quot;??_);_(@_)"/>
    <numFmt numFmtId="167" formatCode="_-* #,##0.00\ _₫_-;\-* #,##0.00\ _₫_-;_-* &quot;-&quot;??\ _₫_-;_-@_-"/>
    <numFmt numFmtId="168" formatCode="_-* #,##0\ _₫_-;\-* #,##0\ _₫_-;_-* &quot;-&quot;??\ _₫_-;_-@_-"/>
  </numFmts>
  <fonts count="2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25" fillId="0" borderId="0"/>
    <xf numFmtId="167" fontId="25" fillId="0" borderId="0" applyFont="0" applyFill="0" applyBorder="0" applyAlignment="0" applyProtection="0"/>
  </cellStyleXfs>
  <cellXfs count="145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164" fontId="1" fillId="0" borderId="1" xfId="1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164" fontId="6" fillId="0" borderId="6" xfId="0" applyNumberFormat="1" applyFont="1" applyBorder="1" applyAlignment="1">
      <alignment horizontal="right" vertical="center" wrapText="1"/>
    </xf>
    <xf numFmtId="164" fontId="6" fillId="0" borderId="1" xfId="1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64" fontId="18" fillId="0" borderId="0" xfId="1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164" fontId="15" fillId="0" borderId="1" xfId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19" fillId="0" borderId="0" xfId="0" applyFont="1"/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164" fontId="16" fillId="0" borderId="1" xfId="1" applyNumberFormat="1" applyFont="1" applyBorder="1" applyAlignment="1">
      <alignment horizontal="right" vertical="center"/>
    </xf>
    <xf numFmtId="3" fontId="16" fillId="0" borderId="1" xfId="0" applyNumberFormat="1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left" vertical="center"/>
    </xf>
    <xf numFmtId="164" fontId="1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166" fontId="2" fillId="0" borderId="1" xfId="1" applyNumberFormat="1" applyFont="1" applyBorder="1" applyAlignment="1">
      <alignment horizontal="center" vertical="center" wrapText="1"/>
    </xf>
    <xf numFmtId="166" fontId="0" fillId="0" borderId="0" xfId="1" applyNumberFormat="1" applyFont="1"/>
    <xf numFmtId="166" fontId="0" fillId="0" borderId="1" xfId="1" applyNumberFormat="1" applyFont="1" applyBorder="1"/>
    <xf numFmtId="0" fontId="0" fillId="0" borderId="1" xfId="0" applyBorder="1"/>
    <xf numFmtId="166" fontId="6" fillId="0" borderId="1" xfId="1" applyNumberFormat="1" applyFont="1" applyBorder="1"/>
    <xf numFmtId="166" fontId="6" fillId="0" borderId="1" xfId="1" quotePrefix="1" applyNumberFormat="1" applyFont="1" applyBorder="1"/>
    <xf numFmtId="164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6" fontId="9" fillId="0" borderId="1" xfId="1" applyNumberFormat="1" applyFont="1" applyBorder="1"/>
    <xf numFmtId="0" fontId="2" fillId="4" borderId="1" xfId="0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right" vertical="center"/>
    </xf>
    <xf numFmtId="0" fontId="0" fillId="4" borderId="0" xfId="0" applyFill="1"/>
    <xf numFmtId="0" fontId="20" fillId="4" borderId="0" xfId="0" applyFont="1" applyFill="1"/>
    <xf numFmtId="164" fontId="2" fillId="0" borderId="1" xfId="1" applyNumberFormat="1" applyFont="1" applyFill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164" fontId="2" fillId="0" borderId="1" xfId="1" applyNumberFormat="1" applyFont="1" applyFill="1" applyBorder="1" applyAlignment="1">
      <alignment horizontal="right" vertical="center"/>
    </xf>
    <xf numFmtId="164" fontId="22" fillId="0" borderId="1" xfId="1" applyNumberFormat="1" applyFont="1" applyBorder="1" applyAlignment="1">
      <alignment horizontal="right" vertical="center"/>
    </xf>
    <xf numFmtId="164" fontId="22" fillId="0" borderId="1" xfId="1" applyNumberFormat="1" applyFont="1" applyBorder="1" applyAlignment="1">
      <alignment vertical="center"/>
    </xf>
    <xf numFmtId="164" fontId="22" fillId="0" borderId="6" xfId="1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1" fillId="4" borderId="6" xfId="0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left" vertical="center"/>
    </xf>
    <xf numFmtId="0" fontId="23" fillId="0" borderId="1" xfId="0" applyFont="1" applyBorder="1" applyAlignment="1">
      <alignment vertical="center"/>
    </xf>
    <xf numFmtId="164" fontId="23" fillId="0" borderId="1" xfId="0" applyNumberFormat="1" applyFont="1" applyBorder="1" applyAlignment="1">
      <alignment vertical="center"/>
    </xf>
    <xf numFmtId="0" fontId="6" fillId="0" borderId="0" xfId="2" applyFont="1" applyAlignment="1">
      <alignment vertical="center" wrapText="1"/>
    </xf>
    <xf numFmtId="3" fontId="6" fillId="0" borderId="0" xfId="2" applyNumberFormat="1" applyFont="1" applyAlignment="1">
      <alignment vertical="center" wrapText="1"/>
    </xf>
    <xf numFmtId="165" fontId="6" fillId="0" borderId="0" xfId="2" applyNumberFormat="1" applyFont="1" applyAlignment="1">
      <alignment vertical="center" wrapText="1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 wrapText="1"/>
    </xf>
    <xf numFmtId="3" fontId="7" fillId="0" borderId="1" xfId="2" applyNumberFormat="1" applyFont="1" applyBorder="1" applyAlignment="1">
      <alignment horizontal="right" vertical="center" wrapText="1"/>
    </xf>
    <xf numFmtId="0" fontId="7" fillId="0" borderId="1" xfId="2" applyFont="1" applyBorder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vertical="center" wrapText="1"/>
    </xf>
    <xf numFmtId="3" fontId="7" fillId="3" borderId="1" xfId="2" applyNumberFormat="1" applyFont="1" applyFill="1" applyBorder="1" applyAlignment="1">
      <alignment horizontal="right" vertical="center" wrapText="1"/>
    </xf>
    <xf numFmtId="3" fontId="6" fillId="0" borderId="1" xfId="2" applyNumberFormat="1" applyFont="1" applyBorder="1" applyAlignment="1">
      <alignment horizontal="right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/>
    </xf>
    <xf numFmtId="165" fontId="6" fillId="0" borderId="0" xfId="2" applyNumberFormat="1" applyFont="1" applyAlignment="1">
      <alignment vertical="center"/>
    </xf>
    <xf numFmtId="164" fontId="6" fillId="0" borderId="0" xfId="3" applyNumberFormat="1" applyFont="1" applyFill="1" applyAlignment="1">
      <alignment vertical="center" wrapText="1"/>
    </xf>
    <xf numFmtId="3" fontId="7" fillId="0" borderId="1" xfId="3" applyNumberFormat="1" applyFont="1" applyFill="1" applyBorder="1" applyAlignment="1">
      <alignment horizontal="right" vertical="center" wrapText="1"/>
    </xf>
    <xf numFmtId="3" fontId="7" fillId="3" borderId="1" xfId="3" applyNumberFormat="1" applyFont="1" applyFill="1" applyBorder="1" applyAlignment="1">
      <alignment horizontal="right" vertical="center" wrapText="1"/>
    </xf>
    <xf numFmtId="0" fontId="7" fillId="0" borderId="1" xfId="2" applyFont="1" applyBorder="1" applyAlignment="1">
      <alignment horizontal="center" vertical="center"/>
    </xf>
    <xf numFmtId="3" fontId="7" fillId="0" borderId="1" xfId="2" applyNumberFormat="1" applyFont="1" applyBorder="1" applyAlignment="1">
      <alignment horizontal="center" vertical="center" wrapText="1"/>
    </xf>
    <xf numFmtId="3" fontId="7" fillId="0" borderId="0" xfId="3" applyNumberFormat="1" applyFont="1" applyFill="1" applyAlignment="1">
      <alignment vertical="center" wrapText="1"/>
    </xf>
    <xf numFmtId="3" fontId="7" fillId="0" borderId="0" xfId="2" applyNumberFormat="1" applyFont="1" applyAlignment="1">
      <alignment vertical="center" wrapText="1"/>
    </xf>
    <xf numFmtId="0" fontId="25" fillId="0" borderId="0" xfId="2"/>
    <xf numFmtId="3" fontId="25" fillId="0" borderId="0" xfId="2" applyNumberFormat="1"/>
    <xf numFmtId="165" fontId="25" fillId="0" borderId="0" xfId="2" applyNumberFormat="1"/>
    <xf numFmtId="0" fontId="25" fillId="3" borderId="0" xfId="2" applyFill="1"/>
    <xf numFmtId="165" fontId="25" fillId="3" borderId="0" xfId="2" applyNumberFormat="1" applyFill="1"/>
    <xf numFmtId="168" fontId="24" fillId="3" borderId="0" xfId="3" applyNumberFormat="1" applyFont="1" applyFill="1"/>
    <xf numFmtId="164" fontId="8" fillId="4" borderId="0" xfId="0" applyNumberFormat="1" applyFont="1" applyFill="1" applyAlignment="1"/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164" fontId="2" fillId="5" borderId="1" xfId="1" applyNumberFormat="1" applyFont="1" applyFill="1" applyBorder="1" applyAlignment="1">
      <alignment horizontal="right" vertical="center"/>
    </xf>
    <xf numFmtId="166" fontId="6" fillId="0" borderId="1" xfId="1" applyNumberFormat="1" applyFont="1" applyBorder="1" applyAlignment="1">
      <alignment vertical="center" wrapText="1"/>
    </xf>
    <xf numFmtId="164" fontId="1" fillId="5" borderId="6" xfId="0" applyNumberFormat="1" applyFont="1" applyFill="1" applyBorder="1" applyAlignment="1">
      <alignment horizontal="center" vertical="center" wrapText="1"/>
    </xf>
    <xf numFmtId="164" fontId="1" fillId="5" borderId="6" xfId="1" applyNumberFormat="1" applyFont="1" applyFill="1" applyBorder="1" applyAlignment="1">
      <alignment horizontal="right" vertical="center"/>
    </xf>
    <xf numFmtId="164" fontId="7" fillId="0" borderId="1" xfId="1" applyNumberFormat="1" applyFont="1" applyBorder="1" applyAlignment="1">
      <alignment horizontal="left" vertical="center"/>
    </xf>
    <xf numFmtId="164" fontId="1" fillId="5" borderId="1" xfId="1" applyNumberFormat="1" applyFont="1" applyFill="1" applyBorder="1" applyAlignment="1">
      <alignment horizontal="right" vertical="center"/>
    </xf>
    <xf numFmtId="43" fontId="6" fillId="0" borderId="0" xfId="1" applyFont="1" applyFill="1" applyAlignment="1">
      <alignment vertical="center" wrapText="1"/>
    </xf>
    <xf numFmtId="43" fontId="0" fillId="0" borderId="0" xfId="1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3" fontId="15" fillId="0" borderId="1" xfId="0" applyNumberFormat="1" applyFont="1" applyFill="1" applyBorder="1" applyAlignment="1">
      <alignment horizontal="right" vertical="center" wrapText="1"/>
    </xf>
    <xf numFmtId="164" fontId="15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justify" vertical="center" wrapText="1"/>
    </xf>
    <xf numFmtId="3" fontId="15" fillId="0" borderId="1" xfId="0" applyNumberFormat="1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right" vertical="center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="78" zoomScaleNormal="78" workbookViewId="0">
      <selection activeCell="F18" sqref="F18"/>
    </sheetView>
  </sheetViews>
  <sheetFormatPr defaultRowHeight="15" x14ac:dyDescent="0.25"/>
  <cols>
    <col min="1" max="1" width="5.140625" customWidth="1"/>
    <col min="2" max="2" width="32.42578125" customWidth="1"/>
    <col min="3" max="3" width="23.42578125" customWidth="1"/>
    <col min="4" max="4" width="21.5703125" customWidth="1"/>
    <col min="5" max="5" width="22" customWidth="1"/>
    <col min="6" max="6" width="22.28515625" customWidth="1"/>
    <col min="7" max="7" width="23.140625" customWidth="1"/>
    <col min="8" max="8" width="23" customWidth="1"/>
  </cols>
  <sheetData>
    <row r="1" spans="1:8" ht="30" x14ac:dyDescent="0.4">
      <c r="A1" s="116" t="s">
        <v>92</v>
      </c>
      <c r="B1" s="116"/>
      <c r="C1" s="116"/>
      <c r="D1" s="116"/>
      <c r="E1" s="116"/>
      <c r="F1" s="116"/>
      <c r="G1" s="116"/>
      <c r="H1" s="116"/>
    </row>
    <row r="3" spans="1:8" ht="16.5" x14ac:dyDescent="0.25">
      <c r="A3" s="109" t="s">
        <v>6</v>
      </c>
      <c r="B3" s="111" t="s">
        <v>10</v>
      </c>
      <c r="C3" s="47"/>
      <c r="D3" s="113" t="s">
        <v>57</v>
      </c>
      <c r="E3" s="114"/>
      <c r="F3" s="114"/>
      <c r="G3" s="114"/>
      <c r="H3" s="115"/>
    </row>
    <row r="4" spans="1:8" ht="35.25" customHeight="1" x14ac:dyDescent="0.25">
      <c r="A4" s="110"/>
      <c r="B4" s="112"/>
      <c r="C4" s="32"/>
      <c r="D4" s="33" t="s">
        <v>42</v>
      </c>
      <c r="E4" s="33" t="s">
        <v>43</v>
      </c>
      <c r="F4" s="33" t="s">
        <v>44</v>
      </c>
      <c r="G4" s="33" t="s">
        <v>45</v>
      </c>
      <c r="H4" s="33" t="s">
        <v>46</v>
      </c>
    </row>
    <row r="5" spans="1:8" ht="16.5" x14ac:dyDescent="0.25">
      <c r="A5" s="31" t="s">
        <v>0</v>
      </c>
      <c r="B5" s="32" t="s">
        <v>7</v>
      </c>
      <c r="C5" s="132">
        <f t="shared" ref="C5:H5" si="0">C6+C7+C8</f>
        <v>30504190050</v>
      </c>
      <c r="D5" s="49">
        <f t="shared" si="0"/>
        <v>11186000000</v>
      </c>
      <c r="E5" s="49">
        <f t="shared" si="0"/>
        <v>13190190050</v>
      </c>
      <c r="F5" s="49">
        <f t="shared" si="0"/>
        <v>6128000000</v>
      </c>
      <c r="G5" s="49">
        <f t="shared" si="0"/>
        <v>0</v>
      </c>
      <c r="H5" s="49">
        <f t="shared" si="0"/>
        <v>0</v>
      </c>
    </row>
    <row r="6" spans="1:8" ht="16.5" x14ac:dyDescent="0.25">
      <c r="A6" s="31"/>
      <c r="B6" s="50" t="s">
        <v>111</v>
      </c>
      <c r="C6" s="9">
        <f>D6+E6+F6+G6+H6</f>
        <v>11186000000</v>
      </c>
      <c r="D6" s="9">
        <v>11186000000</v>
      </c>
      <c r="E6" s="9"/>
      <c r="F6" s="51"/>
      <c r="G6" s="34"/>
      <c r="H6" s="34"/>
    </row>
    <row r="7" spans="1:8" ht="16.5" x14ac:dyDescent="0.25">
      <c r="A7" s="31"/>
      <c r="B7" s="50" t="s">
        <v>111</v>
      </c>
      <c r="C7" s="9">
        <f>D7+E7+F7+G7+H7</f>
        <v>13190190050</v>
      </c>
      <c r="D7" s="9"/>
      <c r="E7" s="9">
        <v>13190190050</v>
      </c>
      <c r="F7" s="9"/>
      <c r="G7" s="34"/>
      <c r="H7" s="34"/>
    </row>
    <row r="8" spans="1:8" ht="16.5" x14ac:dyDescent="0.25">
      <c r="A8" s="31"/>
      <c r="B8" s="50" t="s">
        <v>112</v>
      </c>
      <c r="C8" s="9">
        <f>D8+E8+F8+G8+H8</f>
        <v>6128000000</v>
      </c>
      <c r="D8" s="51"/>
      <c r="E8" s="9"/>
      <c r="F8" s="9">
        <v>6128000000</v>
      </c>
      <c r="G8" s="34"/>
      <c r="H8" s="34"/>
    </row>
    <row r="9" spans="1:8" ht="16.5" x14ac:dyDescent="0.25">
      <c r="A9" s="31" t="s">
        <v>1</v>
      </c>
      <c r="B9" s="107" t="s">
        <v>8</v>
      </c>
      <c r="C9" s="132">
        <f t="shared" ref="C9:G9" si="1">C10+C11+C12</f>
        <v>40100000000</v>
      </c>
      <c r="D9" s="49">
        <f t="shared" si="1"/>
        <v>0</v>
      </c>
      <c r="E9" s="49">
        <f t="shared" si="1"/>
        <v>0</v>
      </c>
      <c r="F9" s="49">
        <f>F10+F11+F12</f>
        <v>10100000000</v>
      </c>
      <c r="G9" s="49">
        <f t="shared" si="1"/>
        <v>20000000000</v>
      </c>
      <c r="H9" s="49">
        <f>H10+H11+H12</f>
        <v>10000000000</v>
      </c>
    </row>
    <row r="10" spans="1:8" ht="16.5" x14ac:dyDescent="0.25">
      <c r="A10" s="38">
        <v>1</v>
      </c>
      <c r="B10" s="50" t="s">
        <v>80</v>
      </c>
      <c r="C10" s="9">
        <f>D10+E10+F10+G10+H10</f>
        <v>6100000000</v>
      </c>
      <c r="D10" s="33"/>
      <c r="E10" s="33"/>
      <c r="F10" s="9">
        <v>6100000000</v>
      </c>
      <c r="G10" s="9"/>
      <c r="H10" s="9"/>
    </row>
    <row r="11" spans="1:8" ht="16.5" x14ac:dyDescent="0.25">
      <c r="A11" s="38">
        <v>2</v>
      </c>
      <c r="B11" s="50" t="s">
        <v>81</v>
      </c>
      <c r="C11" s="9">
        <f>D11+E11+F11+G11+H11</f>
        <v>4000000000</v>
      </c>
      <c r="D11" s="33"/>
      <c r="E11" s="33"/>
      <c r="F11" s="9"/>
      <c r="G11" s="9"/>
      <c r="H11" s="9">
        <v>4000000000</v>
      </c>
    </row>
    <row r="12" spans="1:8" ht="16.5" x14ac:dyDescent="0.25">
      <c r="A12" s="38">
        <v>3</v>
      </c>
      <c r="B12" s="50" t="s">
        <v>82</v>
      </c>
      <c r="C12" s="9">
        <f t="shared" ref="C12:C16" si="2">D12+E12+F12+G12+H12</f>
        <v>30000000000</v>
      </c>
      <c r="D12" s="33"/>
      <c r="E12" s="33"/>
      <c r="F12" s="9">
        <v>4000000000</v>
      </c>
      <c r="G12" s="9">
        <v>20000000000</v>
      </c>
      <c r="H12" s="9">
        <v>6000000000</v>
      </c>
    </row>
    <row r="13" spans="1:8" ht="16.5" x14ac:dyDescent="0.25">
      <c r="A13" s="31" t="s">
        <v>2</v>
      </c>
      <c r="B13" s="32" t="s">
        <v>90</v>
      </c>
      <c r="C13" s="133">
        <f t="shared" ref="C13:H13" si="3">C14+C15+C16</f>
        <v>48322407450.5</v>
      </c>
      <c r="D13" s="57">
        <f t="shared" si="3"/>
        <v>20000000000</v>
      </c>
      <c r="E13" s="57">
        <f t="shared" si="3"/>
        <v>19162939339.5</v>
      </c>
      <c r="F13" s="57">
        <f t="shared" si="3"/>
        <v>9159468111</v>
      </c>
      <c r="G13" s="57">
        <f t="shared" si="3"/>
        <v>0</v>
      </c>
      <c r="H13" s="57">
        <f t="shared" si="3"/>
        <v>0</v>
      </c>
    </row>
    <row r="14" spans="1:8" ht="16.5" x14ac:dyDescent="0.25">
      <c r="A14" s="31"/>
      <c r="B14" s="50" t="s">
        <v>89</v>
      </c>
      <c r="C14" s="9">
        <f t="shared" si="2"/>
        <v>20000000000</v>
      </c>
      <c r="D14" s="130">
        <v>20000000000</v>
      </c>
      <c r="E14" s="33"/>
      <c r="F14" s="9"/>
      <c r="G14" s="9"/>
      <c r="H14" s="9"/>
    </row>
    <row r="15" spans="1:8" ht="16.5" x14ac:dyDescent="0.25">
      <c r="A15" s="31"/>
      <c r="B15" s="50" t="s">
        <v>70</v>
      </c>
      <c r="C15" s="9">
        <f t="shared" si="2"/>
        <v>19162939339.5</v>
      </c>
      <c r="D15" s="33"/>
      <c r="E15" s="9">
        <v>19162939339.5</v>
      </c>
      <c r="F15" s="9"/>
      <c r="G15" s="9"/>
      <c r="H15" s="9"/>
    </row>
    <row r="16" spans="1:8" ht="16.5" x14ac:dyDescent="0.25">
      <c r="A16" s="31"/>
      <c r="B16" s="50" t="s">
        <v>91</v>
      </c>
      <c r="C16" s="9">
        <f t="shared" si="2"/>
        <v>9159468111</v>
      </c>
      <c r="D16" s="33"/>
      <c r="E16" s="33"/>
      <c r="F16" s="9">
        <v>9159468111</v>
      </c>
      <c r="G16" s="9"/>
      <c r="H16" s="9"/>
    </row>
    <row r="17" spans="1:8" ht="16.5" x14ac:dyDescent="0.25">
      <c r="A17" s="31" t="s">
        <v>3</v>
      </c>
      <c r="B17" s="32" t="s">
        <v>76</v>
      </c>
      <c r="C17" s="132">
        <f t="shared" ref="C17:H17" si="4">C18+C19+C20</f>
        <v>9923770000</v>
      </c>
      <c r="D17" s="49">
        <f t="shared" si="4"/>
        <v>0</v>
      </c>
      <c r="E17" s="49">
        <f t="shared" si="4"/>
        <v>0</v>
      </c>
      <c r="F17" s="132">
        <f t="shared" si="4"/>
        <v>5246640000</v>
      </c>
      <c r="G17" s="132">
        <f t="shared" si="4"/>
        <v>2606990000</v>
      </c>
      <c r="H17" s="132">
        <f t="shared" si="4"/>
        <v>2070140000</v>
      </c>
    </row>
    <row r="18" spans="1:8" ht="16.5" x14ac:dyDescent="0.25">
      <c r="A18" s="38">
        <v>1</v>
      </c>
      <c r="B18" s="48" t="s">
        <v>77</v>
      </c>
      <c r="C18" s="9">
        <f>D18+E18+F18+G18+H18</f>
        <v>5246640000</v>
      </c>
      <c r="D18" s="9"/>
      <c r="E18" s="9"/>
      <c r="F18" s="9">
        <v>5246640000</v>
      </c>
      <c r="G18" s="9"/>
      <c r="H18" s="9"/>
    </row>
    <row r="19" spans="1:8" ht="16.5" x14ac:dyDescent="0.25">
      <c r="A19" s="38">
        <v>2</v>
      </c>
      <c r="B19" s="64" t="s">
        <v>78</v>
      </c>
      <c r="C19" s="9">
        <f>D19+E19+F19+G19+H19</f>
        <v>2606990000</v>
      </c>
      <c r="D19" s="9"/>
      <c r="E19" s="9"/>
      <c r="F19" s="9"/>
      <c r="G19" s="9">
        <v>2606990000</v>
      </c>
      <c r="H19" s="9"/>
    </row>
    <row r="20" spans="1:8" ht="16.5" x14ac:dyDescent="0.25">
      <c r="A20" s="38">
        <v>3</v>
      </c>
      <c r="B20" s="9" t="s">
        <v>79</v>
      </c>
      <c r="C20" s="9">
        <f>D20+E20+F20+G20+H20</f>
        <v>2070140000</v>
      </c>
      <c r="D20" s="9"/>
      <c r="E20" s="9"/>
      <c r="F20" s="9"/>
      <c r="G20" s="9"/>
      <c r="H20" s="9">
        <v>2070140000</v>
      </c>
    </row>
    <row r="21" spans="1:8" ht="18.75" customHeight="1" x14ac:dyDescent="0.25">
      <c r="A21" s="72" t="s">
        <v>4</v>
      </c>
      <c r="B21" s="134" t="s">
        <v>113</v>
      </c>
      <c r="C21" s="135">
        <f>D21+E21+F21+G21+H21</f>
        <v>4063232250</v>
      </c>
      <c r="D21" s="9">
        <v>4063232250</v>
      </c>
      <c r="E21" s="9"/>
      <c r="F21" s="9"/>
      <c r="G21" s="9"/>
      <c r="H21" s="9"/>
    </row>
    <row r="22" spans="1:8" ht="16.5" x14ac:dyDescent="0.25">
      <c r="A22" s="60"/>
      <c r="B22" s="61" t="s">
        <v>114</v>
      </c>
      <c r="C22" s="61">
        <f>C5+C9+C13+C17+C21</f>
        <v>132913599750.5</v>
      </c>
      <c r="D22" s="61">
        <f t="shared" ref="C22:H22" si="5">D5+D9+D13+D17</f>
        <v>31186000000</v>
      </c>
      <c r="E22" s="61">
        <f t="shared" si="5"/>
        <v>32353129389.5</v>
      </c>
      <c r="F22" s="61">
        <f t="shared" si="5"/>
        <v>30634108111</v>
      </c>
      <c r="G22" s="61">
        <f t="shared" si="5"/>
        <v>22606990000</v>
      </c>
      <c r="H22" s="61">
        <f t="shared" si="5"/>
        <v>12070140000</v>
      </c>
    </row>
    <row r="23" spans="1:8" ht="53.25" customHeight="1" x14ac:dyDescent="0.3">
      <c r="A23" s="58" t="s">
        <v>5</v>
      </c>
      <c r="B23" s="73" t="s">
        <v>110</v>
      </c>
      <c r="C23" s="9">
        <f t="shared" ref="C23" si="6">D23+E23+F23+G23+H23</f>
        <v>19999979000</v>
      </c>
      <c r="D23" s="9">
        <v>5138627000</v>
      </c>
      <c r="E23" s="9">
        <v>4317755000</v>
      </c>
      <c r="F23" s="9">
        <v>10543597000</v>
      </c>
      <c r="G23" s="59"/>
      <c r="H23" s="59"/>
    </row>
    <row r="24" spans="1:8" ht="16.5" x14ac:dyDescent="0.25">
      <c r="A24" s="74" t="s">
        <v>55</v>
      </c>
      <c r="B24" s="75" t="s">
        <v>103</v>
      </c>
      <c r="C24" s="61">
        <f>C25+C26+C27+C28</f>
        <v>3747160000</v>
      </c>
      <c r="D24" s="61">
        <f t="shared" ref="D24:H24" si="7">D25+D26+D27+D28</f>
        <v>811232000</v>
      </c>
      <c r="E24" s="61">
        <f t="shared" si="7"/>
        <v>865232000</v>
      </c>
      <c r="F24" s="61">
        <f t="shared" si="7"/>
        <v>760232000</v>
      </c>
      <c r="G24" s="61">
        <f t="shared" si="7"/>
        <v>655232000</v>
      </c>
      <c r="H24" s="61">
        <f t="shared" si="7"/>
        <v>655232000</v>
      </c>
    </row>
    <row r="25" spans="1:8" ht="16.5" x14ac:dyDescent="0.25">
      <c r="A25" s="31">
        <v>1</v>
      </c>
      <c r="B25" s="55" t="s">
        <v>83</v>
      </c>
      <c r="C25" s="130">
        <f t="shared" ref="C25:C30" si="8">D25+E25+F25+G25+H25</f>
        <v>170000000</v>
      </c>
      <c r="D25" s="130">
        <v>170000000</v>
      </c>
      <c r="E25" s="9"/>
      <c r="F25" s="9"/>
      <c r="G25" s="9"/>
      <c r="H25" s="9"/>
    </row>
    <row r="26" spans="1:8" ht="31.5" x14ac:dyDescent="0.25">
      <c r="A26" s="31">
        <v>2</v>
      </c>
      <c r="B26" s="131" t="s">
        <v>84</v>
      </c>
      <c r="C26" s="130">
        <f t="shared" si="8"/>
        <v>735000000</v>
      </c>
      <c r="D26" s="52"/>
      <c r="E26" s="130">
        <v>315000000</v>
      </c>
      <c r="F26" s="130">
        <v>210000000</v>
      </c>
      <c r="G26" s="130">
        <v>105000000</v>
      </c>
      <c r="H26" s="130">
        <v>105000000</v>
      </c>
    </row>
    <row r="27" spans="1:8" ht="16.5" x14ac:dyDescent="0.25">
      <c r="A27" s="31">
        <v>3</v>
      </c>
      <c r="B27" s="55" t="s">
        <v>85</v>
      </c>
      <c r="C27" s="130">
        <f t="shared" si="8"/>
        <v>951160000</v>
      </c>
      <c r="D27" s="9">
        <v>190232000</v>
      </c>
      <c r="E27" s="9">
        <v>190232000</v>
      </c>
      <c r="F27" s="9">
        <v>190232000</v>
      </c>
      <c r="G27" s="9">
        <v>190232000</v>
      </c>
      <c r="H27" s="9">
        <v>190232000</v>
      </c>
    </row>
    <row r="28" spans="1:8" ht="16.5" x14ac:dyDescent="0.25">
      <c r="A28" s="31">
        <v>4</v>
      </c>
      <c r="B28" s="55" t="s">
        <v>86</v>
      </c>
      <c r="C28" s="9">
        <f t="shared" ref="C28:H28" si="9">C29+C30</f>
        <v>1891000000</v>
      </c>
      <c r="D28" s="9">
        <f t="shared" si="9"/>
        <v>451000000</v>
      </c>
      <c r="E28" s="9">
        <f t="shared" si="9"/>
        <v>360000000</v>
      </c>
      <c r="F28" s="9">
        <f t="shared" si="9"/>
        <v>360000000</v>
      </c>
      <c r="G28" s="9">
        <f t="shared" si="9"/>
        <v>360000000</v>
      </c>
      <c r="H28" s="9">
        <f t="shared" si="9"/>
        <v>360000000</v>
      </c>
    </row>
    <row r="29" spans="1:8" ht="16.5" x14ac:dyDescent="0.25">
      <c r="A29" s="54"/>
      <c r="B29" s="56" t="s">
        <v>87</v>
      </c>
      <c r="C29" s="130">
        <f t="shared" si="8"/>
        <v>91000000</v>
      </c>
      <c r="D29" s="9">
        <v>91000000</v>
      </c>
      <c r="E29" s="53"/>
      <c r="F29" s="53"/>
      <c r="G29" s="53"/>
      <c r="H29" s="53"/>
    </row>
    <row r="30" spans="1:8" ht="16.5" x14ac:dyDescent="0.25">
      <c r="A30" s="54"/>
      <c r="B30" s="56" t="s">
        <v>88</v>
      </c>
      <c r="C30" s="9">
        <f t="shared" si="8"/>
        <v>1800000000</v>
      </c>
      <c r="D30" s="9">
        <v>360000000</v>
      </c>
      <c r="E30" s="9">
        <v>360000000</v>
      </c>
      <c r="F30" s="9">
        <v>360000000</v>
      </c>
      <c r="G30" s="9">
        <v>360000000</v>
      </c>
      <c r="H30" s="9">
        <v>360000000</v>
      </c>
    </row>
    <row r="31" spans="1:8" ht="25.5" customHeight="1" x14ac:dyDescent="0.25">
      <c r="A31" s="76"/>
      <c r="B31" s="76" t="s">
        <v>93</v>
      </c>
      <c r="C31" s="77">
        <f>C22+C23+C24</f>
        <v>156660738750.5</v>
      </c>
      <c r="D31" s="77">
        <f t="shared" ref="D31:H31" si="10">D22+D23+D24</f>
        <v>37135859000</v>
      </c>
      <c r="E31" s="77">
        <f t="shared" si="10"/>
        <v>37536116389.5</v>
      </c>
      <c r="F31" s="77">
        <f t="shared" si="10"/>
        <v>41937937111</v>
      </c>
      <c r="G31" s="77">
        <f t="shared" si="10"/>
        <v>23262222000</v>
      </c>
      <c r="H31" s="77">
        <f t="shared" si="10"/>
        <v>12725372000</v>
      </c>
    </row>
    <row r="32" spans="1:8" ht="18.75" x14ac:dyDescent="0.3">
      <c r="A32" s="62"/>
      <c r="B32" s="63" t="s">
        <v>115</v>
      </c>
      <c r="C32" s="106">
        <f>C31</f>
        <v>156660738750.5</v>
      </c>
      <c r="D32" s="106"/>
      <c r="E32" s="62"/>
      <c r="F32" s="62"/>
      <c r="G32" s="62"/>
      <c r="H32" s="62"/>
    </row>
  </sheetData>
  <mergeCells count="4">
    <mergeCell ref="A3:A4"/>
    <mergeCell ref="B3:B4"/>
    <mergeCell ref="D3:H3"/>
    <mergeCell ref="A1:H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opLeftCell="A10" workbookViewId="0">
      <selection activeCell="A21" sqref="A21:H21"/>
    </sheetView>
  </sheetViews>
  <sheetFormatPr defaultRowHeight="15" x14ac:dyDescent="0.25"/>
  <cols>
    <col min="1" max="1" width="4.7109375" customWidth="1"/>
    <col min="2" max="2" width="26" customWidth="1"/>
    <col min="3" max="3" width="20.140625" customWidth="1"/>
    <col min="4" max="4" width="19.5703125" customWidth="1"/>
    <col min="5" max="5" width="19" customWidth="1"/>
    <col min="6" max="6" width="19.42578125" customWidth="1"/>
    <col min="7" max="7" width="20.85546875" customWidth="1"/>
    <col min="8" max="8" width="20" customWidth="1"/>
  </cols>
  <sheetData>
    <row r="2" spans="1:8" ht="20.25" x14ac:dyDescent="0.3">
      <c r="A2" s="117" t="s">
        <v>117</v>
      </c>
      <c r="B2" s="117"/>
      <c r="C2" s="117"/>
      <c r="D2" s="117"/>
      <c r="E2" s="117"/>
      <c r="F2" s="117"/>
      <c r="G2" s="117"/>
      <c r="H2" s="117"/>
    </row>
    <row r="3" spans="1:8" x14ac:dyDescent="0.25">
      <c r="H3" s="2" t="s">
        <v>56</v>
      </c>
    </row>
    <row r="4" spans="1:8" ht="30" customHeight="1" x14ac:dyDescent="0.25">
      <c r="A4" s="109" t="s">
        <v>6</v>
      </c>
      <c r="B4" s="109" t="s">
        <v>12</v>
      </c>
      <c r="C4" s="111" t="s">
        <v>10</v>
      </c>
      <c r="D4" s="113" t="s">
        <v>57</v>
      </c>
      <c r="E4" s="114"/>
      <c r="F4" s="114"/>
      <c r="G4" s="114"/>
      <c r="H4" s="115"/>
    </row>
    <row r="5" spans="1:8" ht="39.75" customHeight="1" x14ac:dyDescent="0.25">
      <c r="A5" s="110"/>
      <c r="B5" s="110"/>
      <c r="C5" s="112"/>
      <c r="D5" s="3" t="s">
        <v>42</v>
      </c>
      <c r="E5" s="5" t="s">
        <v>43</v>
      </c>
      <c r="F5" s="5" t="s">
        <v>44</v>
      </c>
      <c r="G5" s="5" t="s">
        <v>45</v>
      </c>
      <c r="H5" s="5" t="s">
        <v>46</v>
      </c>
    </row>
    <row r="6" spans="1:8" ht="28.5" customHeight="1" x14ac:dyDescent="0.25">
      <c r="A6" s="7">
        <v>1</v>
      </c>
      <c r="B6" s="8" t="s">
        <v>7</v>
      </c>
      <c r="C6" s="130">
        <f>D6+E6+F6</f>
        <v>30504190050</v>
      </c>
      <c r="D6" s="9">
        <f>'SO LIEU'!D5</f>
        <v>11186000000</v>
      </c>
      <c r="E6" s="9">
        <f>'SO LIEU'!E5</f>
        <v>13190190050</v>
      </c>
      <c r="F6" s="9">
        <f>'SO LIEU'!F5</f>
        <v>6128000000</v>
      </c>
      <c r="G6" s="9">
        <f>'SO LIEU'!G5</f>
        <v>0</v>
      </c>
      <c r="H6" s="9">
        <f>'SO LIEU'!H5</f>
        <v>0</v>
      </c>
    </row>
    <row r="7" spans="1:8" ht="30" customHeight="1" x14ac:dyDescent="0.25">
      <c r="A7" s="46"/>
      <c r="B7" s="66" t="s">
        <v>94</v>
      </c>
      <c r="C7" s="9"/>
      <c r="D7" s="69">
        <v>11186000000</v>
      </c>
      <c r="E7" s="69">
        <v>13190190050</v>
      </c>
      <c r="F7" s="69">
        <v>6128000000</v>
      </c>
      <c r="G7" s="69"/>
      <c r="H7" s="9"/>
    </row>
    <row r="8" spans="1:8" ht="31.5" customHeight="1" x14ac:dyDescent="0.25">
      <c r="A8" s="7">
        <v>2</v>
      </c>
      <c r="B8" s="8" t="s">
        <v>8</v>
      </c>
      <c r="C8" s="130">
        <f>D8+E8+F8+G8+H8</f>
        <v>40100000000</v>
      </c>
      <c r="D8" s="9">
        <f>'SO LIEU'!D9</f>
        <v>0</v>
      </c>
      <c r="E8" s="9">
        <f>'SO LIEU'!E9</f>
        <v>0</v>
      </c>
      <c r="F8" s="9">
        <f>F9+F10</f>
        <v>10100000000</v>
      </c>
      <c r="G8" s="9">
        <f t="shared" ref="G8:H8" si="0">G9+G10</f>
        <v>20000000000</v>
      </c>
      <c r="H8" s="9">
        <f t="shared" si="0"/>
        <v>10000000000</v>
      </c>
    </row>
    <row r="9" spans="1:8" ht="29.25" customHeight="1" x14ac:dyDescent="0.25">
      <c r="A9" s="46"/>
      <c r="B9" s="67" t="s">
        <v>95</v>
      </c>
      <c r="C9" s="68"/>
      <c r="D9" s="9"/>
      <c r="E9" s="9"/>
      <c r="F9" s="69">
        <f>'SO LIEU'!F12</f>
        <v>4000000000</v>
      </c>
      <c r="G9" s="69">
        <f>'SO LIEU'!G12</f>
        <v>20000000000</v>
      </c>
      <c r="H9" s="69">
        <f>'SO LIEU'!H12</f>
        <v>6000000000</v>
      </c>
    </row>
    <row r="10" spans="1:8" ht="30" customHeight="1" x14ac:dyDescent="0.25">
      <c r="A10" s="46"/>
      <c r="B10" s="67" t="s">
        <v>96</v>
      </c>
      <c r="C10" s="68"/>
      <c r="D10" s="9"/>
      <c r="E10" s="9"/>
      <c r="F10" s="69">
        <f>'SO LIEU'!F10</f>
        <v>6100000000</v>
      </c>
      <c r="G10" s="69"/>
      <c r="H10" s="69">
        <f>'SO LIEU'!H11</f>
        <v>4000000000</v>
      </c>
    </row>
    <row r="11" spans="1:8" ht="34.5" customHeight="1" x14ac:dyDescent="0.25">
      <c r="A11" s="7">
        <v>3</v>
      </c>
      <c r="B11" s="1" t="s">
        <v>9</v>
      </c>
      <c r="C11" s="130">
        <f>D11+E11+F11+G11+H11</f>
        <v>48322407450.5</v>
      </c>
      <c r="D11" s="9">
        <f>D12+D13+D14</f>
        <v>20000000000</v>
      </c>
      <c r="E11" s="9">
        <f t="shared" ref="E11:H11" si="1">E12+E13+E14</f>
        <v>19162939339.5</v>
      </c>
      <c r="F11" s="9">
        <f t="shared" si="1"/>
        <v>9159468111</v>
      </c>
      <c r="G11" s="9">
        <f t="shared" si="1"/>
        <v>0</v>
      </c>
      <c r="H11" s="9">
        <f t="shared" si="1"/>
        <v>0</v>
      </c>
    </row>
    <row r="12" spans="1:8" ht="34.5" customHeight="1" x14ac:dyDescent="0.25">
      <c r="A12" s="46"/>
      <c r="B12" s="67" t="s">
        <v>97</v>
      </c>
      <c r="C12" s="9"/>
      <c r="D12" s="69">
        <v>20000000000</v>
      </c>
      <c r="E12" s="9"/>
      <c r="F12" s="9"/>
      <c r="G12" s="9"/>
      <c r="H12" s="9"/>
    </row>
    <row r="13" spans="1:8" ht="34.5" customHeight="1" x14ac:dyDescent="0.25">
      <c r="A13" s="46"/>
      <c r="B13" s="67" t="s">
        <v>98</v>
      </c>
      <c r="C13" s="70"/>
      <c r="D13" s="70"/>
      <c r="E13" s="70">
        <f>'SO LIEU'!E15</f>
        <v>19162939339.5</v>
      </c>
      <c r="F13" s="69"/>
      <c r="G13" s="69"/>
      <c r="H13" s="69"/>
    </row>
    <row r="14" spans="1:8" ht="34.5" customHeight="1" x14ac:dyDescent="0.25">
      <c r="A14" s="46"/>
      <c r="B14" s="67" t="s">
        <v>99</v>
      </c>
      <c r="C14" s="71"/>
      <c r="D14" s="71"/>
      <c r="E14" s="71"/>
      <c r="F14" s="69">
        <f>'SO LIEU'!F16</f>
        <v>9159468111</v>
      </c>
      <c r="G14" s="69"/>
      <c r="H14" s="69"/>
    </row>
    <row r="15" spans="1:8" s="6" customFormat="1" ht="34.5" customHeight="1" x14ac:dyDescent="0.25">
      <c r="A15" s="7">
        <v>4</v>
      </c>
      <c r="B15" s="1" t="s">
        <v>41</v>
      </c>
      <c r="C15" s="130">
        <f>D15+E15+F15+G15+H15</f>
        <v>9923770000</v>
      </c>
      <c r="D15" s="9">
        <f>'SO LIEU'!D17</f>
        <v>0</v>
      </c>
      <c r="E15" s="9">
        <f>'SO LIEU'!E17</f>
        <v>0</v>
      </c>
      <c r="F15" s="9">
        <f>F16</f>
        <v>5246640000</v>
      </c>
      <c r="G15" s="9">
        <f>G16</f>
        <v>2606990000</v>
      </c>
      <c r="H15" s="9">
        <f>H16</f>
        <v>2070140000</v>
      </c>
    </row>
    <row r="16" spans="1:8" s="6" customFormat="1" ht="34.5" customHeight="1" x14ac:dyDescent="0.25">
      <c r="A16" s="46"/>
      <c r="B16" s="67" t="s">
        <v>100</v>
      </c>
      <c r="C16" s="68"/>
      <c r="D16" s="9"/>
      <c r="E16" s="9"/>
      <c r="F16" s="69">
        <f>'SO LIEU'!F18</f>
        <v>5246640000</v>
      </c>
      <c r="G16" s="69">
        <f>'SO LIEU'!G19</f>
        <v>2606990000</v>
      </c>
      <c r="H16" s="69">
        <f>'SO LIEU'!H20</f>
        <v>2070140000</v>
      </c>
    </row>
    <row r="17" spans="1:8" s="6" customFormat="1" ht="34.5" customHeight="1" x14ac:dyDescent="0.25">
      <c r="A17" s="108">
        <v>5</v>
      </c>
      <c r="B17" s="1" t="s">
        <v>118</v>
      </c>
      <c r="C17" s="130">
        <f>D17+E17+F17+G17+H17</f>
        <v>4063232250</v>
      </c>
      <c r="D17" s="9">
        <f>'SO LIEU'!D21</f>
        <v>4063232250</v>
      </c>
      <c r="E17" s="9"/>
      <c r="F17" s="9"/>
      <c r="G17" s="9"/>
      <c r="H17" s="9"/>
    </row>
    <row r="18" spans="1:8" ht="22.5" customHeight="1" x14ac:dyDescent="0.25">
      <c r="A18" s="7"/>
      <c r="B18" s="72" t="s">
        <v>119</v>
      </c>
      <c r="C18" s="11">
        <f>SUM(C6:C17)</f>
        <v>132913599750.5</v>
      </c>
      <c r="D18" s="11">
        <f>D6+D8+D11+D15+D17</f>
        <v>35249232250</v>
      </c>
      <c r="E18" s="11">
        <f t="shared" ref="E18:H18" si="2">E6+E8+E11+E15+E17</f>
        <v>32353129389.5</v>
      </c>
      <c r="F18" s="11">
        <f t="shared" si="2"/>
        <v>30634108111</v>
      </c>
      <c r="G18" s="11">
        <f t="shared" si="2"/>
        <v>22606990000</v>
      </c>
      <c r="H18" s="11">
        <f t="shared" si="2"/>
        <v>12070140000</v>
      </c>
    </row>
    <row r="21" spans="1:8" x14ac:dyDescent="0.25">
      <c r="A21" s="118"/>
      <c r="B21" s="118"/>
      <c r="C21" s="118"/>
      <c r="D21" s="118"/>
      <c r="E21" s="118"/>
      <c r="F21" s="118"/>
      <c r="G21" s="118"/>
      <c r="H21" s="118"/>
    </row>
    <row r="22" spans="1:8" ht="15.75" x14ac:dyDescent="0.25">
      <c r="C22" s="29"/>
      <c r="G22" s="4"/>
    </row>
  </sheetData>
  <mergeCells count="6">
    <mergeCell ref="A2:H2"/>
    <mergeCell ref="A21:H21"/>
    <mergeCell ref="A4:A5"/>
    <mergeCell ref="B4:B5"/>
    <mergeCell ref="C4:C5"/>
    <mergeCell ref="D4:H4"/>
  </mergeCells>
  <pageMargins left="0.45" right="0.2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25" workbookViewId="0">
      <selection activeCell="B37" sqref="B37"/>
    </sheetView>
  </sheetViews>
  <sheetFormatPr defaultColWidth="8.85546875" defaultRowHeight="15" x14ac:dyDescent="0.25"/>
  <cols>
    <col min="1" max="1" width="4.85546875" style="6" customWidth="1"/>
    <col min="2" max="2" width="20" style="6" customWidth="1"/>
    <col min="3" max="4" width="18" style="6" customWidth="1"/>
    <col min="5" max="5" width="19.42578125" style="6" customWidth="1"/>
    <col min="6" max="6" width="17.5703125" style="6" customWidth="1"/>
    <col min="7" max="7" width="18.5703125" style="6" customWidth="1"/>
    <col min="8" max="8" width="17.5703125" style="6" customWidth="1"/>
    <col min="9" max="9" width="8.85546875" style="6"/>
    <col min="10" max="10" width="20.7109375" style="6" customWidth="1"/>
    <col min="11" max="16384" width="8.85546875" style="6"/>
  </cols>
  <sheetData>
    <row r="1" spans="1:10" ht="34.15" customHeight="1" x14ac:dyDescent="0.25">
      <c r="A1" s="121" t="s">
        <v>38</v>
      </c>
      <c r="B1" s="121"/>
      <c r="C1" s="121"/>
      <c r="D1" s="121"/>
      <c r="E1" s="121"/>
      <c r="F1" s="121"/>
      <c r="G1" s="121"/>
      <c r="H1" s="121"/>
    </row>
    <row r="2" spans="1:10" ht="15.75" x14ac:dyDescent="0.25">
      <c r="A2" s="12"/>
      <c r="B2" s="12"/>
      <c r="C2" s="12"/>
      <c r="D2" s="12"/>
      <c r="E2" s="12"/>
      <c r="F2" s="12"/>
      <c r="G2" s="13"/>
      <c r="H2" s="14" t="s">
        <v>60</v>
      </c>
    </row>
    <row r="3" spans="1:10" ht="25.5" customHeight="1" x14ac:dyDescent="0.25">
      <c r="A3" s="122" t="s">
        <v>6</v>
      </c>
      <c r="B3" s="124" t="s">
        <v>39</v>
      </c>
      <c r="C3" s="126" t="s">
        <v>40</v>
      </c>
      <c r="D3" s="119" t="s">
        <v>57</v>
      </c>
      <c r="E3" s="119"/>
      <c r="F3" s="119"/>
      <c r="G3" s="119"/>
      <c r="H3" s="119"/>
    </row>
    <row r="4" spans="1:10" ht="39" customHeight="1" x14ac:dyDescent="0.25">
      <c r="A4" s="123"/>
      <c r="B4" s="125"/>
      <c r="C4" s="127"/>
      <c r="D4" s="15" t="s">
        <v>42</v>
      </c>
      <c r="E4" s="15" t="s">
        <v>43</v>
      </c>
      <c r="F4" s="15" t="s">
        <v>44</v>
      </c>
      <c r="G4" s="15" t="s">
        <v>45</v>
      </c>
      <c r="H4" s="15" t="s">
        <v>46</v>
      </c>
    </row>
    <row r="5" spans="1:10" ht="33.75" customHeight="1" x14ac:dyDescent="0.25">
      <c r="A5" s="16">
        <v>1</v>
      </c>
      <c r="B5" s="17" t="s">
        <v>13</v>
      </c>
      <c r="C5" s="18">
        <f>D5+E5+F5+G5+H5</f>
        <v>132913599750.5</v>
      </c>
      <c r="D5" s="19">
        <f>'GIA TRI DAU TU'!D18</f>
        <v>35249232250</v>
      </c>
      <c r="E5" s="19">
        <f>'GIA TRI DAU TU'!E18</f>
        <v>32353129389.5</v>
      </c>
      <c r="F5" s="19">
        <f>'GIA TRI DAU TU'!F18</f>
        <v>30634108111</v>
      </c>
      <c r="G5" s="19">
        <f>'GIA TRI DAU TU'!G18</f>
        <v>22606990000</v>
      </c>
      <c r="H5" s="19">
        <f>'GIA TRI DAU TU'!H18</f>
        <v>12070140000</v>
      </c>
    </row>
    <row r="6" spans="1:10" ht="33.75" customHeight="1" x14ac:dyDescent="0.25">
      <c r="A6" s="65">
        <v>2</v>
      </c>
      <c r="B6" s="17" t="s">
        <v>101</v>
      </c>
      <c r="C6" s="18">
        <f>D6+E6+F6+G6+H6</f>
        <v>19999979000</v>
      </c>
      <c r="D6" s="19">
        <f>'SO LIEU'!D23</f>
        <v>5138627000</v>
      </c>
      <c r="E6" s="19">
        <f>'SO LIEU'!E23</f>
        <v>4317755000</v>
      </c>
      <c r="F6" s="19">
        <f>'SO LIEU'!F23</f>
        <v>10543597000</v>
      </c>
      <c r="G6" s="19"/>
      <c r="H6" s="19"/>
    </row>
    <row r="7" spans="1:10" ht="33.75" customHeight="1" x14ac:dyDescent="0.25">
      <c r="A7" s="65">
        <v>3</v>
      </c>
      <c r="B7" s="17" t="s">
        <v>102</v>
      </c>
      <c r="C7" s="18">
        <f>D7+E7+F7+G7+H7</f>
        <v>3747160000</v>
      </c>
      <c r="D7" s="68">
        <f>'SO LIEU'!D24</f>
        <v>811232000</v>
      </c>
      <c r="E7" s="68">
        <f>'SO LIEU'!E24</f>
        <v>865232000</v>
      </c>
      <c r="F7" s="68">
        <f>'SO LIEU'!F24</f>
        <v>760232000</v>
      </c>
      <c r="G7" s="68">
        <f>'SO LIEU'!G24</f>
        <v>655232000</v>
      </c>
      <c r="H7" s="68">
        <f>'SO LIEU'!H24</f>
        <v>655232000</v>
      </c>
    </row>
    <row r="8" spans="1:10" ht="33.75" customHeight="1" x14ac:dyDescent="0.25">
      <c r="A8" s="20">
        <v>4</v>
      </c>
      <c r="B8" s="21" t="s">
        <v>14</v>
      </c>
      <c r="C8" s="22">
        <f>'Khai toan 100-200'!G7</f>
        <v>2336124936.2474556</v>
      </c>
      <c r="D8" s="19">
        <f>$C$8/5</f>
        <v>467224987.2494911</v>
      </c>
      <c r="E8" s="19">
        <f>$C$8/5</f>
        <v>467224987.2494911</v>
      </c>
      <c r="F8" s="19">
        <f>$C$8/5</f>
        <v>467224987.2494911</v>
      </c>
      <c r="G8" s="19">
        <f>$C$8/5</f>
        <v>467224987.2494911</v>
      </c>
      <c r="H8" s="19">
        <f>$C$8/5</f>
        <v>467224987.2494911</v>
      </c>
    </row>
    <row r="9" spans="1:10" ht="33.75" customHeight="1" x14ac:dyDescent="0.25">
      <c r="A9" s="20">
        <v>5</v>
      </c>
      <c r="B9" s="23" t="s">
        <v>15</v>
      </c>
      <c r="C9" s="22">
        <f>'Khai toan 100-200'!G8</f>
        <v>1829797428.6058397</v>
      </c>
      <c r="D9" s="19">
        <f>$C$9/5</f>
        <v>365959485.72116792</v>
      </c>
      <c r="E9" s="19">
        <f>$C$9/5</f>
        <v>365959485.72116792</v>
      </c>
      <c r="F9" s="19">
        <f>$C$9/5</f>
        <v>365959485.72116792</v>
      </c>
      <c r="G9" s="19">
        <f>$C$9/5</f>
        <v>365959485.72116792</v>
      </c>
      <c r="H9" s="19">
        <f>$C$9/5</f>
        <v>365959485.72116792</v>
      </c>
      <c r="J9" s="10"/>
    </row>
    <row r="10" spans="1:10" ht="33.75" customHeight="1" x14ac:dyDescent="0.25">
      <c r="A10" s="20">
        <v>6</v>
      </c>
      <c r="B10" s="24" t="s">
        <v>58</v>
      </c>
      <c r="C10" s="22">
        <f>'Khai toan 100-200'!G15</f>
        <v>1037171137.5329134</v>
      </c>
      <c r="D10" s="19">
        <f>$C$10/5</f>
        <v>207434227.50658268</v>
      </c>
      <c r="E10" s="19">
        <f t="shared" ref="E10:H10" si="0">$C$10/5</f>
        <v>207434227.50658268</v>
      </c>
      <c r="F10" s="19">
        <f t="shared" si="0"/>
        <v>207434227.50658268</v>
      </c>
      <c r="G10" s="19">
        <f t="shared" si="0"/>
        <v>207434227.50658268</v>
      </c>
      <c r="H10" s="19">
        <f t="shared" si="0"/>
        <v>207434227.50658268</v>
      </c>
      <c r="J10" s="10"/>
    </row>
    <row r="11" spans="1:10" ht="33.75" customHeight="1" x14ac:dyDescent="0.25">
      <c r="A11" s="20">
        <v>7</v>
      </c>
      <c r="B11" s="24" t="s">
        <v>59</v>
      </c>
      <c r="C11" s="22">
        <f>'Khai toan 100-200'!G19</f>
        <v>8093191612.64431</v>
      </c>
      <c r="D11" s="19">
        <f>$C$11/5</f>
        <v>1618638322.528862</v>
      </c>
      <c r="E11" s="19">
        <f t="shared" ref="E11:H11" si="1">$C$11/5</f>
        <v>1618638322.528862</v>
      </c>
      <c r="F11" s="19">
        <f t="shared" si="1"/>
        <v>1618638322.528862</v>
      </c>
      <c r="G11" s="19">
        <f t="shared" si="1"/>
        <v>1618638322.528862</v>
      </c>
      <c r="H11" s="19">
        <f t="shared" si="1"/>
        <v>1618638322.528862</v>
      </c>
      <c r="J11" s="10"/>
    </row>
    <row r="12" spans="1:10" ht="27" customHeight="1" x14ac:dyDescent="0.25">
      <c r="A12" s="20"/>
      <c r="B12" s="45" t="s">
        <v>109</v>
      </c>
      <c r="C12" s="25">
        <f>SUM(C5:C11)</f>
        <v>169957023865.53055</v>
      </c>
      <c r="D12" s="26">
        <f t="shared" ref="D12:H12" si="2">D5+D8+D9+D10+D11</f>
        <v>37908489273.006104</v>
      </c>
      <c r="E12" s="26">
        <f t="shared" si="2"/>
        <v>35012386412.506104</v>
      </c>
      <c r="F12" s="26">
        <f t="shared" si="2"/>
        <v>33293365134.006107</v>
      </c>
      <c r="G12" s="26">
        <f t="shared" si="2"/>
        <v>25266247023.006107</v>
      </c>
      <c r="H12" s="26">
        <f t="shared" si="2"/>
        <v>14729397023.006104</v>
      </c>
    </row>
    <row r="13" spans="1:10" ht="36" customHeight="1" x14ac:dyDescent="0.25">
      <c r="A13" s="20"/>
      <c r="B13" s="27" t="s">
        <v>120</v>
      </c>
      <c r="C13" s="25">
        <f>'Khai toan 100-200'!G23</f>
        <v>169957024000</v>
      </c>
      <c r="D13" s="28"/>
      <c r="E13" s="28"/>
      <c r="F13" s="28"/>
      <c r="G13" s="28"/>
      <c r="H13" s="28"/>
    </row>
    <row r="17" spans="1:10" ht="15.75" x14ac:dyDescent="0.25">
      <c r="A17" s="119" t="s">
        <v>6</v>
      </c>
      <c r="B17" s="119" t="s">
        <v>75</v>
      </c>
      <c r="C17" s="120" t="s">
        <v>40</v>
      </c>
      <c r="D17" s="119" t="s">
        <v>57</v>
      </c>
      <c r="E17" s="119"/>
      <c r="F17" s="119"/>
      <c r="G17" s="119"/>
      <c r="H17" s="119"/>
    </row>
    <row r="18" spans="1:10" ht="15.75" x14ac:dyDescent="0.25">
      <c r="A18" s="119"/>
      <c r="B18" s="119"/>
      <c r="C18" s="120"/>
      <c r="D18" s="15" t="s">
        <v>61</v>
      </c>
      <c r="E18" s="15" t="s">
        <v>61</v>
      </c>
      <c r="F18" s="15" t="s">
        <v>61</v>
      </c>
      <c r="G18" s="15" t="s">
        <v>61</v>
      </c>
      <c r="H18" s="15" t="s">
        <v>61</v>
      </c>
    </row>
    <row r="19" spans="1:10" ht="15.75" x14ac:dyDescent="0.25">
      <c r="A19" s="119"/>
      <c r="B19" s="119"/>
      <c r="C19" s="120"/>
      <c r="D19" s="15" t="s">
        <v>62</v>
      </c>
      <c r="E19" s="15" t="s">
        <v>63</v>
      </c>
      <c r="F19" s="15" t="s">
        <v>64</v>
      </c>
      <c r="G19" s="15" t="s">
        <v>65</v>
      </c>
      <c r="H19" s="15" t="s">
        <v>66</v>
      </c>
    </row>
    <row r="20" spans="1:10" ht="16.5" x14ac:dyDescent="0.25">
      <c r="A20" s="138">
        <v>1</v>
      </c>
      <c r="B20" s="139" t="s">
        <v>67</v>
      </c>
      <c r="C20" s="140">
        <f>D20+E20+F20+G20+H20</f>
        <v>30504190050</v>
      </c>
      <c r="D20" s="141">
        <f>'GIA TRI DAU TU'!D6</f>
        <v>11186000000</v>
      </c>
      <c r="E20" s="141">
        <f>'GIA TRI DAU TU'!E6</f>
        <v>13190190050</v>
      </c>
      <c r="F20" s="141">
        <f>'GIA TRI DAU TU'!F6</f>
        <v>6128000000</v>
      </c>
      <c r="G20" s="141"/>
      <c r="H20" s="141"/>
    </row>
    <row r="21" spans="1:10" ht="33" x14ac:dyDescent="0.25">
      <c r="A21" s="138">
        <v>2</v>
      </c>
      <c r="B21" s="142" t="s">
        <v>68</v>
      </c>
      <c r="C21" s="140">
        <f t="shared" ref="C21:C26" si="3">D21+E21+F21+G21+H21</f>
        <v>30000000000</v>
      </c>
      <c r="D21" s="143"/>
      <c r="E21" s="143"/>
      <c r="F21" s="143">
        <f>'GIA TRI DAU TU'!F9</f>
        <v>4000000000</v>
      </c>
      <c r="G21" s="143">
        <f>'GIA TRI DAU TU'!G9</f>
        <v>20000000000</v>
      </c>
      <c r="H21" s="143">
        <f>'GIA TRI DAU TU'!H9</f>
        <v>6000000000</v>
      </c>
    </row>
    <row r="22" spans="1:10" ht="16.5" x14ac:dyDescent="0.25">
      <c r="A22" s="138">
        <v>3</v>
      </c>
      <c r="B22" s="139" t="s">
        <v>69</v>
      </c>
      <c r="C22" s="140">
        <f t="shared" si="3"/>
        <v>20000000000</v>
      </c>
      <c r="D22" s="141">
        <f>'GIA TRI DAU TU'!D12</f>
        <v>20000000000</v>
      </c>
      <c r="E22" s="143"/>
      <c r="F22" s="143"/>
      <c r="G22" s="144"/>
      <c r="H22" s="144"/>
    </row>
    <row r="23" spans="1:10" ht="16.5" x14ac:dyDescent="0.25">
      <c r="A23" s="138">
        <v>4</v>
      </c>
      <c r="B23" s="139" t="s">
        <v>70</v>
      </c>
      <c r="C23" s="140">
        <f>D23+E23+F23+G23+H23</f>
        <v>19162939339.5</v>
      </c>
      <c r="D23" s="143"/>
      <c r="E23" s="143">
        <f>'GIA TRI DAU TU'!E13</f>
        <v>19162939339.5</v>
      </c>
      <c r="F23" s="143"/>
      <c r="G23" s="144"/>
      <c r="H23" s="144"/>
    </row>
    <row r="24" spans="1:10" ht="33" x14ac:dyDescent="0.25">
      <c r="A24" s="138">
        <v>5</v>
      </c>
      <c r="B24" s="139" t="s">
        <v>71</v>
      </c>
      <c r="C24" s="140">
        <f>D24+E24+F24+G24+H24</f>
        <v>9159468111</v>
      </c>
      <c r="D24" s="143"/>
      <c r="E24" s="143"/>
      <c r="F24" s="143">
        <f>'GIA TRI DAU TU'!F14</f>
        <v>9159468111</v>
      </c>
      <c r="G24" s="141"/>
      <c r="H24" s="144"/>
    </row>
    <row r="25" spans="1:10" ht="33" x14ac:dyDescent="0.25">
      <c r="A25" s="138">
        <v>6</v>
      </c>
      <c r="B25" s="142" t="s">
        <v>72</v>
      </c>
      <c r="C25" s="140">
        <f t="shared" si="3"/>
        <v>10100000000</v>
      </c>
      <c r="D25" s="141"/>
      <c r="E25" s="141"/>
      <c r="F25" s="141">
        <f>'GIA TRI DAU TU'!F10</f>
        <v>6100000000</v>
      </c>
      <c r="G25" s="141"/>
      <c r="H25" s="141">
        <f>'GIA TRI DAU TU'!H10</f>
        <v>4000000000</v>
      </c>
    </row>
    <row r="26" spans="1:10" ht="33" x14ac:dyDescent="0.25">
      <c r="A26" s="7">
        <v>7</v>
      </c>
      <c r="B26" s="37" t="s">
        <v>73</v>
      </c>
      <c r="C26" s="35">
        <f t="shared" si="3"/>
        <v>9923770000</v>
      </c>
      <c r="D26" s="36"/>
      <c r="E26" s="36"/>
      <c r="F26" s="36">
        <f>'GIA TRI DAU TU'!F16</f>
        <v>5246640000</v>
      </c>
      <c r="G26" s="36">
        <f>'GIA TRI DAU TU'!G16</f>
        <v>2606990000</v>
      </c>
      <c r="H26" s="36">
        <f>'GIA TRI DAU TU'!H16</f>
        <v>2070140000</v>
      </c>
    </row>
    <row r="27" spans="1:10" ht="16.5" x14ac:dyDescent="0.25">
      <c r="A27" s="128" t="s">
        <v>74</v>
      </c>
      <c r="B27" s="128"/>
      <c r="C27" s="44">
        <f t="shared" ref="C27:H27" si="4">SUM(C20:C26)</f>
        <v>128850367500.5</v>
      </c>
      <c r="D27" s="44">
        <f t="shared" si="4"/>
        <v>31186000000</v>
      </c>
      <c r="E27" s="44">
        <f t="shared" si="4"/>
        <v>32353129389.5</v>
      </c>
      <c r="F27" s="44">
        <f t="shared" si="4"/>
        <v>30634108111</v>
      </c>
      <c r="G27" s="44">
        <f t="shared" si="4"/>
        <v>22606990000</v>
      </c>
      <c r="H27" s="44">
        <f t="shared" si="4"/>
        <v>12070140000</v>
      </c>
    </row>
    <row r="28" spans="1:10" ht="18.75" x14ac:dyDescent="0.3">
      <c r="A28" s="39"/>
      <c r="B28" s="39"/>
      <c r="C28" s="39"/>
      <c r="D28" s="39"/>
      <c r="E28" s="39"/>
      <c r="F28" s="39"/>
      <c r="G28" s="39"/>
      <c r="H28" s="39"/>
      <c r="J28" s="137">
        <f>'GIA TRI DAU TU'!C18-'SO LIEU'!C21</f>
        <v>128850367500.5</v>
      </c>
    </row>
    <row r="29" spans="1:10" ht="18.75" x14ac:dyDescent="0.3">
      <c r="A29" s="39"/>
      <c r="B29" s="39"/>
      <c r="C29" s="39"/>
      <c r="D29" s="39"/>
      <c r="E29" s="39"/>
      <c r="F29" s="39"/>
      <c r="G29" s="39"/>
      <c r="H29" s="39"/>
    </row>
    <row r="30" spans="1:10" ht="16.5" x14ac:dyDescent="0.25">
      <c r="A30" s="109" t="s">
        <v>6</v>
      </c>
      <c r="B30" s="109" t="s">
        <v>12</v>
      </c>
      <c r="C30" s="111" t="s">
        <v>10</v>
      </c>
      <c r="D30" s="113" t="s">
        <v>57</v>
      </c>
      <c r="E30" s="114"/>
      <c r="F30" s="114"/>
      <c r="G30" s="114"/>
      <c r="H30" s="115"/>
    </row>
    <row r="31" spans="1:10" ht="33" x14ac:dyDescent="0.25">
      <c r="A31" s="110"/>
      <c r="B31" s="110"/>
      <c r="C31" s="112"/>
      <c r="D31" s="30" t="s">
        <v>42</v>
      </c>
      <c r="E31" s="30" t="s">
        <v>43</v>
      </c>
      <c r="F31" s="30" t="s">
        <v>44</v>
      </c>
      <c r="G31" s="30" t="s">
        <v>45</v>
      </c>
      <c r="H31" s="30" t="s">
        <v>46</v>
      </c>
    </row>
    <row r="32" spans="1:10" ht="22.5" customHeight="1" x14ac:dyDescent="0.25">
      <c r="A32" s="7">
        <v>1</v>
      </c>
      <c r="B32" s="40" t="s">
        <v>7</v>
      </c>
      <c r="C32" s="36">
        <f>D32+E32+F32+G32+H32</f>
        <v>30504190050</v>
      </c>
      <c r="D32" s="141">
        <f>D20</f>
        <v>11186000000</v>
      </c>
      <c r="E32" s="141">
        <f>E20</f>
        <v>13190190050</v>
      </c>
      <c r="F32" s="141">
        <f>F20</f>
        <v>6128000000</v>
      </c>
      <c r="G32" s="141"/>
      <c r="H32" s="141"/>
    </row>
    <row r="33" spans="1:8" ht="24.75" customHeight="1" x14ac:dyDescent="0.25">
      <c r="A33" s="7">
        <v>2</v>
      </c>
      <c r="B33" s="40" t="s">
        <v>8</v>
      </c>
      <c r="C33" s="36">
        <f>D33+E33+F33+G33+H33</f>
        <v>40100000000</v>
      </c>
      <c r="D33" s="141"/>
      <c r="E33" s="141"/>
      <c r="F33" s="141">
        <f>F21+F25</f>
        <v>10100000000</v>
      </c>
      <c r="G33" s="143">
        <v>20000000000</v>
      </c>
      <c r="H33" s="143">
        <v>10000000000</v>
      </c>
    </row>
    <row r="34" spans="1:8" ht="29.25" customHeight="1" x14ac:dyDescent="0.25">
      <c r="A34" s="7">
        <v>3</v>
      </c>
      <c r="B34" s="41" t="s">
        <v>9</v>
      </c>
      <c r="C34" s="36">
        <f>D34+E34+F34+G34+H34</f>
        <v>48322407451</v>
      </c>
      <c r="D34" s="36">
        <v>20000000000</v>
      </c>
      <c r="E34" s="36">
        <v>19162939340</v>
      </c>
      <c r="F34" s="36">
        <f>F24</f>
        <v>9159468111</v>
      </c>
      <c r="G34" s="36"/>
      <c r="H34" s="36"/>
    </row>
    <row r="35" spans="1:8" ht="29.25" customHeight="1" x14ac:dyDescent="0.25">
      <c r="A35" s="7">
        <v>4</v>
      </c>
      <c r="B35" s="41" t="s">
        <v>41</v>
      </c>
      <c r="C35" s="36">
        <f>D35+E35+F35+G35+H35</f>
        <v>9923770000</v>
      </c>
      <c r="D35" s="36"/>
      <c r="E35" s="36"/>
      <c r="F35" s="36">
        <f>F26</f>
        <v>5246640000</v>
      </c>
      <c r="G35" s="36">
        <f>G26</f>
        <v>2606990000</v>
      </c>
      <c r="H35" s="36">
        <f>H26</f>
        <v>2070140000</v>
      </c>
    </row>
    <row r="36" spans="1:8" ht="23.25" customHeight="1" x14ac:dyDescent="0.25">
      <c r="A36" s="7"/>
      <c r="B36" s="42" t="s">
        <v>11</v>
      </c>
      <c r="C36" s="43">
        <f t="shared" ref="C36:H36" si="5">SUM(C32:C35)</f>
        <v>128850367501</v>
      </c>
      <c r="D36" s="43">
        <f t="shared" si="5"/>
        <v>31186000000</v>
      </c>
      <c r="E36" s="43">
        <f t="shared" si="5"/>
        <v>32353129390</v>
      </c>
      <c r="F36" s="43">
        <f t="shared" si="5"/>
        <v>30634108111</v>
      </c>
      <c r="G36" s="43">
        <f t="shared" si="5"/>
        <v>22606990000</v>
      </c>
      <c r="H36" s="43">
        <f t="shared" si="5"/>
        <v>12070140000</v>
      </c>
    </row>
  </sheetData>
  <mergeCells count="14">
    <mergeCell ref="A27:B27"/>
    <mergeCell ref="A30:A31"/>
    <mergeCell ref="B30:B31"/>
    <mergeCell ref="C30:C31"/>
    <mergeCell ref="D30:H30"/>
    <mergeCell ref="A17:A19"/>
    <mergeCell ref="B17:B19"/>
    <mergeCell ref="C17:C19"/>
    <mergeCell ref="D17:H17"/>
    <mergeCell ref="A1:H1"/>
    <mergeCell ref="A3:A4"/>
    <mergeCell ref="B3:B4"/>
    <mergeCell ref="C3:C4"/>
    <mergeCell ref="D3:H3"/>
  </mergeCells>
  <pageMargins left="0.45" right="0.2" top="0.5" bottom="1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L24"/>
  <sheetViews>
    <sheetView topLeftCell="A19" zoomScale="90" zoomScaleNormal="90" workbookViewId="0">
      <selection activeCell="B10" sqref="B10"/>
    </sheetView>
  </sheetViews>
  <sheetFormatPr defaultColWidth="9.140625" defaultRowHeight="15.75" x14ac:dyDescent="0.25"/>
  <cols>
    <col min="1" max="1" width="4.5703125" style="78" bestFit="1" customWidth="1"/>
    <col min="2" max="2" width="28.140625" style="78" bestFit="1" customWidth="1"/>
    <col min="3" max="3" width="8.28515625" style="82" bestFit="1" customWidth="1"/>
    <col min="4" max="4" width="21.5703125" style="81" customWidth="1"/>
    <col min="5" max="5" width="17.42578125" style="79" customWidth="1"/>
    <col min="6" max="6" width="15.5703125" style="78" bestFit="1" customWidth="1"/>
    <col min="7" max="7" width="18.140625" style="79" customWidth="1"/>
    <col min="8" max="8" width="21.42578125" style="80" customWidth="1"/>
    <col min="9" max="9" width="14.85546875" style="78" bestFit="1" customWidth="1"/>
    <col min="10" max="10" width="11" style="78" hidden="1" customWidth="1"/>
    <col min="11" max="11" width="0" style="78" hidden="1" customWidth="1"/>
    <col min="12" max="12" width="14.85546875" style="79" bestFit="1" customWidth="1"/>
    <col min="13" max="16384" width="9.140625" style="78"/>
  </cols>
  <sheetData>
    <row r="3" spans="1:12" ht="20.25" x14ac:dyDescent="0.25">
      <c r="A3" s="129" t="s">
        <v>47</v>
      </c>
      <c r="B3" s="129"/>
      <c r="C3" s="129"/>
      <c r="D3" s="129"/>
      <c r="E3" s="129"/>
      <c r="F3" s="129"/>
      <c r="G3" s="129"/>
    </row>
    <row r="4" spans="1:12" x14ac:dyDescent="0.25">
      <c r="E4" s="99"/>
      <c r="G4" s="98"/>
    </row>
    <row r="5" spans="1:12" ht="31.5" x14ac:dyDescent="0.25">
      <c r="A5" s="85" t="s">
        <v>6</v>
      </c>
      <c r="B5" s="85" t="s">
        <v>48</v>
      </c>
      <c r="C5" s="85" t="s">
        <v>29</v>
      </c>
      <c r="D5" s="96" t="s">
        <v>34</v>
      </c>
      <c r="E5" s="97" t="s">
        <v>35</v>
      </c>
      <c r="F5" s="85" t="s">
        <v>36</v>
      </c>
      <c r="G5" s="97" t="s">
        <v>37</v>
      </c>
    </row>
    <row r="6" spans="1:12" ht="31.5" x14ac:dyDescent="0.25">
      <c r="A6" s="85" t="s">
        <v>0</v>
      </c>
      <c r="B6" s="86" t="s">
        <v>116</v>
      </c>
      <c r="C6" s="85" t="s">
        <v>30</v>
      </c>
      <c r="D6" s="96"/>
      <c r="E6" s="95">
        <f>H6/1.1</f>
        <v>142418853409.54544</v>
      </c>
      <c r="F6" s="83">
        <f t="shared" ref="F6:F18" si="0">E6*0.1</f>
        <v>14241885340.954544</v>
      </c>
      <c r="G6" s="94">
        <f t="shared" ref="G6:G18" si="1">E6+F6</f>
        <v>156660738750.5</v>
      </c>
      <c r="H6" s="136">
        <f>'SO LIEU'!C31</f>
        <v>156660738750.5</v>
      </c>
      <c r="I6" s="93"/>
    </row>
    <row r="7" spans="1:12" ht="31.5" x14ac:dyDescent="0.25">
      <c r="A7" s="85" t="s">
        <v>1</v>
      </c>
      <c r="B7" s="86" t="s">
        <v>49</v>
      </c>
      <c r="C7" s="85" t="s">
        <v>31</v>
      </c>
      <c r="D7" s="89" t="str">
        <f>"Gtb x "&amp;H7&amp;"% * 0,8"</f>
        <v>Gtb x 1.864% * 0,8</v>
      </c>
      <c r="E7" s="83">
        <f>E6*'100-200'!C5%*0.8</f>
        <v>2123749942.0431416</v>
      </c>
      <c r="F7" s="83">
        <f t="shared" si="0"/>
        <v>212374994.20431417</v>
      </c>
      <c r="G7" s="83">
        <f t="shared" si="1"/>
        <v>2336124936.2474556</v>
      </c>
      <c r="H7" s="92">
        <f>'100-200'!C5</f>
        <v>1.8640000000000001</v>
      </c>
      <c r="I7" s="79"/>
    </row>
    <row r="8" spans="1:12" x14ac:dyDescent="0.25">
      <c r="A8" s="85" t="s">
        <v>2</v>
      </c>
      <c r="B8" s="86" t="s">
        <v>50</v>
      </c>
      <c r="C8" s="85" t="s">
        <v>32</v>
      </c>
      <c r="D8" s="85"/>
      <c r="E8" s="83">
        <f>E9+E10+E11+E12+E13+E14</f>
        <v>1663452207.8234906</v>
      </c>
      <c r="F8" s="83">
        <f t="shared" si="0"/>
        <v>166345220.78234908</v>
      </c>
      <c r="G8" s="83">
        <f t="shared" si="1"/>
        <v>1829797428.6058397</v>
      </c>
      <c r="I8" s="79"/>
    </row>
    <row r="9" spans="1:12" ht="31.5" x14ac:dyDescent="0.25">
      <c r="A9" s="89">
        <v>1</v>
      </c>
      <c r="B9" s="90" t="s">
        <v>16</v>
      </c>
      <c r="C9" s="89"/>
      <c r="D9" s="89" t="str">
        <f t="shared" ref="D9:D14" si="2">"Gtb x "&amp;H9&amp;"%"</f>
        <v>Gtb x 0.424%</v>
      </c>
      <c r="E9" s="88">
        <f>E6*'100-200'!C10%</f>
        <v>603855938.45647264</v>
      </c>
      <c r="F9" s="88">
        <f t="shared" si="0"/>
        <v>60385593.845647268</v>
      </c>
      <c r="G9" s="88">
        <f t="shared" si="1"/>
        <v>664241532.30211985</v>
      </c>
      <c r="H9" s="80">
        <f>'100-200'!C10</f>
        <v>0.42399999999999999</v>
      </c>
      <c r="I9" s="79"/>
    </row>
    <row r="10" spans="1:12" ht="31.5" x14ac:dyDescent="0.25">
      <c r="A10" s="89">
        <v>2</v>
      </c>
      <c r="B10" s="90" t="s">
        <v>17</v>
      </c>
      <c r="C10" s="89"/>
      <c r="D10" s="89" t="str">
        <f t="shared" si="2"/>
        <v>Gtb x 0.075%</v>
      </c>
      <c r="E10" s="88">
        <f>E6*'100-200'!C15%</f>
        <v>106814140.05715908</v>
      </c>
      <c r="F10" s="88">
        <f t="shared" si="0"/>
        <v>10681414.005715908</v>
      </c>
      <c r="G10" s="88">
        <f t="shared" si="1"/>
        <v>117495554.06287499</v>
      </c>
      <c r="H10" s="80">
        <f>'100-200'!C15</f>
        <v>7.4999999999999997E-2</v>
      </c>
    </row>
    <row r="11" spans="1:12" x14ac:dyDescent="0.25">
      <c r="A11" s="89">
        <v>3</v>
      </c>
      <c r="B11" s="90" t="s">
        <v>18</v>
      </c>
      <c r="C11" s="89"/>
      <c r="D11" s="89" t="str">
        <f t="shared" si="2"/>
        <v>Gtb x 0.2%</v>
      </c>
      <c r="E11" s="88">
        <f>E6*0.2%</f>
        <v>284837706.8190909</v>
      </c>
      <c r="F11" s="88">
        <f t="shared" si="0"/>
        <v>28483770.681909092</v>
      </c>
      <c r="G11" s="88">
        <f t="shared" si="1"/>
        <v>313321477.50099999</v>
      </c>
      <c r="H11" s="80">
        <f>0.2</f>
        <v>0.2</v>
      </c>
    </row>
    <row r="12" spans="1:12" ht="47.25" x14ac:dyDescent="0.25">
      <c r="A12" s="89">
        <v>4</v>
      </c>
      <c r="B12" s="90" t="s">
        <v>106</v>
      </c>
      <c r="C12" s="89"/>
      <c r="D12" s="89" t="str">
        <f t="shared" si="2"/>
        <v>Gtb x 0.106%</v>
      </c>
      <c r="E12" s="88">
        <f>E6*'100-200'!C20%</f>
        <v>150963984.61411816</v>
      </c>
      <c r="F12" s="88">
        <f t="shared" si="0"/>
        <v>15096398.461411817</v>
      </c>
      <c r="G12" s="88">
        <f t="shared" si="1"/>
        <v>166060383.07552996</v>
      </c>
      <c r="H12" s="80">
        <f>'100-200'!C20</f>
        <v>0.106</v>
      </c>
    </row>
    <row r="13" spans="1:12" ht="31.5" x14ac:dyDescent="0.25">
      <c r="A13" s="89">
        <v>5</v>
      </c>
      <c r="B13" s="90" t="s">
        <v>19</v>
      </c>
      <c r="C13" s="89"/>
      <c r="D13" s="89" t="str">
        <f t="shared" si="2"/>
        <v>Gtb x 0.05%</v>
      </c>
      <c r="E13" s="88">
        <f>E6*0.05%</f>
        <v>71209426.704772726</v>
      </c>
      <c r="F13" s="88">
        <f t="shared" si="0"/>
        <v>7120942.6704772729</v>
      </c>
      <c r="G13" s="88">
        <f t="shared" si="1"/>
        <v>78330369.375249997</v>
      </c>
      <c r="H13" s="80">
        <f>0.05</f>
        <v>0.05</v>
      </c>
    </row>
    <row r="14" spans="1:12" x14ac:dyDescent="0.25">
      <c r="A14" s="89">
        <v>6</v>
      </c>
      <c r="B14" s="90" t="s">
        <v>20</v>
      </c>
      <c r="C14" s="89"/>
      <c r="D14" s="89" t="str">
        <f t="shared" si="2"/>
        <v>Gtb x 0.313%</v>
      </c>
      <c r="E14" s="88">
        <f>E6*'100-200'!C25%</f>
        <v>445771011.17187721</v>
      </c>
      <c r="F14" s="88">
        <f t="shared" si="0"/>
        <v>44577101.117187724</v>
      </c>
      <c r="G14" s="88">
        <f t="shared" si="1"/>
        <v>490348112.28906494</v>
      </c>
      <c r="H14" s="80">
        <f>'100-200'!C25</f>
        <v>0.313</v>
      </c>
    </row>
    <row r="15" spans="1:12" x14ac:dyDescent="0.25">
      <c r="A15" s="85" t="s">
        <v>3</v>
      </c>
      <c r="B15" s="86" t="s">
        <v>21</v>
      </c>
      <c r="C15" s="85" t="s">
        <v>33</v>
      </c>
      <c r="D15" s="86"/>
      <c r="E15" s="83">
        <f>E16+E17+E18</f>
        <v>942882852.30264854</v>
      </c>
      <c r="F15" s="83">
        <f t="shared" si="0"/>
        <v>94288285.230264857</v>
      </c>
      <c r="G15" s="83">
        <f t="shared" si="1"/>
        <v>1037171137.5329134</v>
      </c>
      <c r="I15" s="79"/>
      <c r="L15" s="78"/>
    </row>
    <row r="16" spans="1:12" ht="31.5" x14ac:dyDescent="0.25">
      <c r="A16" s="89">
        <v>1</v>
      </c>
      <c r="B16" s="90" t="s">
        <v>22</v>
      </c>
      <c r="C16" s="89"/>
      <c r="D16" s="89" t="str">
        <f>"[(Gtb + Gql + Gtv) x "&amp;H16&amp;"%]x70%"</f>
        <v>[(Gtb + Gql + Gtv) x 0.359%]x70%</v>
      </c>
      <c r="E16" s="88">
        <f>(E6+E7+E8)*'100-200'!C30%*0.7</f>
        <v>367415817.62080252</v>
      </c>
      <c r="F16" s="88">
        <f t="shared" si="0"/>
        <v>36741581.762080252</v>
      </c>
      <c r="G16" s="88">
        <f t="shared" si="1"/>
        <v>404157399.38288277</v>
      </c>
      <c r="H16" s="80">
        <f>'100-200'!C30</f>
        <v>0.35899999999999999</v>
      </c>
      <c r="I16" s="79"/>
      <c r="L16" s="78"/>
    </row>
    <row r="17" spans="1:12" ht="31.5" x14ac:dyDescent="0.25">
      <c r="A17" s="91">
        <v>2</v>
      </c>
      <c r="B17" s="90" t="s">
        <v>23</v>
      </c>
      <c r="C17" s="89"/>
      <c r="D17" s="89" t="str">
        <f>"[(Gtb + Gql + Gtv) x "&amp;H17&amp;"%]x70%"</f>
        <v>[(Gtb + Gql + Gtv) x 0.548%]x70%</v>
      </c>
      <c r="E17" s="88">
        <f>(E6+E7+E8)*'100-200'!C35%*0.7</f>
        <v>560846429.1259048</v>
      </c>
      <c r="F17" s="88">
        <f t="shared" si="0"/>
        <v>56084642.912590481</v>
      </c>
      <c r="G17" s="88">
        <f t="shared" si="1"/>
        <v>616931072.0384953</v>
      </c>
      <c r="H17" s="80">
        <f>'100-200'!C35</f>
        <v>0.54800000000000004</v>
      </c>
      <c r="L17" s="78"/>
    </row>
    <row r="18" spans="1:12" ht="31.5" x14ac:dyDescent="0.25">
      <c r="A18" s="89">
        <v>3</v>
      </c>
      <c r="B18" s="90" t="s">
        <v>24</v>
      </c>
      <c r="C18" s="89"/>
      <c r="D18" s="89" t="str">
        <f>"(Gtb + Gql + Gtv) x "&amp;H18&amp;"%"</f>
        <v>(Gtb + Gql + Gtv) x 0.01%</v>
      </c>
      <c r="E18" s="88">
        <f>(E6+E7+E8)*'100-200'!C40%</f>
        <v>14620605.555941209</v>
      </c>
      <c r="F18" s="88">
        <f t="shared" si="0"/>
        <v>1462060.5555941211</v>
      </c>
      <c r="G18" s="88">
        <f t="shared" si="1"/>
        <v>16082666.111535329</v>
      </c>
      <c r="H18" s="80">
        <f>'100-200'!C40</f>
        <v>0.01</v>
      </c>
      <c r="I18" s="79"/>
      <c r="L18" s="78"/>
    </row>
    <row r="19" spans="1:12" x14ac:dyDescent="0.25">
      <c r="A19" s="85" t="s">
        <v>4</v>
      </c>
      <c r="B19" s="86" t="s">
        <v>25</v>
      </c>
      <c r="C19" s="85" t="s">
        <v>51</v>
      </c>
      <c r="D19" s="85" t="s">
        <v>52</v>
      </c>
      <c r="E19" s="83">
        <f>E20+E21</f>
        <v>7357446920.5857363</v>
      </c>
      <c r="F19" s="83">
        <f>F20+F21</f>
        <v>735744692.05857372</v>
      </c>
      <c r="G19" s="83">
        <f>F19+E19</f>
        <v>8093191612.64431</v>
      </c>
      <c r="I19" s="79"/>
      <c r="L19" s="78"/>
    </row>
    <row r="20" spans="1:12" ht="31.5" x14ac:dyDescent="0.25">
      <c r="A20" s="89">
        <v>1</v>
      </c>
      <c r="B20" s="90" t="s">
        <v>105</v>
      </c>
      <c r="C20" s="89" t="s">
        <v>104</v>
      </c>
      <c r="D20" s="86"/>
      <c r="E20" s="88">
        <v>0</v>
      </c>
      <c r="F20" s="88">
        <v>0</v>
      </c>
      <c r="G20" s="88">
        <v>0</v>
      </c>
      <c r="I20" s="79"/>
      <c r="L20" s="78"/>
    </row>
    <row r="21" spans="1:12" ht="31.5" x14ac:dyDescent="0.25">
      <c r="A21" s="89">
        <v>2</v>
      </c>
      <c r="B21" s="90" t="s">
        <v>26</v>
      </c>
      <c r="C21" s="89" t="s">
        <v>53</v>
      </c>
      <c r="D21" s="89" t="s">
        <v>54</v>
      </c>
      <c r="E21" s="88">
        <f>(E6+E7+E8+E15)*5%</f>
        <v>7357446920.5857363</v>
      </c>
      <c r="F21" s="88">
        <f>E21*0.1</f>
        <v>735744692.05857372</v>
      </c>
      <c r="G21" s="88">
        <f>E21+F21</f>
        <v>8093191612.64431</v>
      </c>
      <c r="L21" s="78"/>
    </row>
    <row r="22" spans="1:12" x14ac:dyDescent="0.25">
      <c r="A22" s="86" t="s">
        <v>5</v>
      </c>
      <c r="B22" s="86" t="s">
        <v>27</v>
      </c>
      <c r="C22" s="85"/>
      <c r="D22" s="84"/>
      <c r="E22" s="83">
        <f>E6+E7+E8+E15+E19</f>
        <v>154506385332.30045</v>
      </c>
      <c r="F22" s="83">
        <f>F6+F7+F8+F15+F19</f>
        <v>15450638533.230045</v>
      </c>
      <c r="G22" s="87">
        <f>G6+G7+G8+G15+G19</f>
        <v>169957023865.53055</v>
      </c>
      <c r="H22" s="80">
        <f>E22+F22</f>
        <v>169957023865.53049</v>
      </c>
      <c r="I22" s="79"/>
      <c r="L22" s="78"/>
    </row>
    <row r="23" spans="1:12" ht="31.5" x14ac:dyDescent="0.25">
      <c r="A23" s="86" t="s">
        <v>55</v>
      </c>
      <c r="B23" s="86" t="s">
        <v>28</v>
      </c>
      <c r="C23" s="85"/>
      <c r="D23" s="84"/>
      <c r="E23" s="83"/>
      <c r="F23" s="83"/>
      <c r="G23" s="83">
        <f>ROUND(G22,-3)</f>
        <v>169957024000</v>
      </c>
      <c r="H23" s="80">
        <f>G23*5%</f>
        <v>8497851200</v>
      </c>
      <c r="L23" s="78"/>
    </row>
    <row r="24" spans="1:12" x14ac:dyDescent="0.25">
      <c r="H24" s="80">
        <f>G23-H23</f>
        <v>161459172800</v>
      </c>
    </row>
  </sheetData>
  <mergeCells count="1">
    <mergeCell ref="A3:G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0"/>
  <sheetViews>
    <sheetView workbookViewId="0">
      <selection activeCell="H25" sqref="H25"/>
    </sheetView>
  </sheetViews>
  <sheetFormatPr defaultColWidth="9" defaultRowHeight="15" x14ac:dyDescent="0.25"/>
  <cols>
    <col min="1" max="2" width="9" style="100"/>
    <col min="3" max="3" width="9" style="102"/>
    <col min="4" max="4" width="9" style="100"/>
    <col min="5" max="5" width="13.42578125" style="100" bestFit="1" customWidth="1"/>
    <col min="6" max="7" width="9" style="100"/>
    <col min="8" max="8" width="22" style="100" customWidth="1"/>
    <col min="9" max="11" width="9" style="100"/>
    <col min="12" max="12" width="18.7109375" style="101" customWidth="1"/>
    <col min="13" max="16384" width="9" style="100"/>
  </cols>
  <sheetData>
    <row r="2" spans="2:8" x14ac:dyDescent="0.25">
      <c r="H2" s="105">
        <v>200000000000</v>
      </c>
    </row>
    <row r="3" spans="2:8" x14ac:dyDescent="0.25">
      <c r="B3" s="103" t="s">
        <v>14</v>
      </c>
      <c r="C3" s="104"/>
      <c r="D3" s="103"/>
      <c r="H3" s="105">
        <v>500000000000</v>
      </c>
    </row>
    <row r="5" spans="2:8" x14ac:dyDescent="0.25">
      <c r="B5" s="100" t="s">
        <v>107</v>
      </c>
      <c r="C5" s="102">
        <f>ROUND(1.442-(1.442-1.796)/(200000000000-500000000000)*('Khai toan 100-200'!E6-500000000000),3)</f>
        <v>1.8640000000000001</v>
      </c>
    </row>
    <row r="8" spans="2:8" x14ac:dyDescent="0.25">
      <c r="B8" s="103" t="s">
        <v>16</v>
      </c>
      <c r="C8" s="104"/>
      <c r="D8" s="103"/>
    </row>
    <row r="10" spans="2:8" x14ac:dyDescent="0.25">
      <c r="B10" s="100" t="s">
        <v>107</v>
      </c>
      <c r="C10" s="102">
        <f>ROUND(0.287-(0.287-0.402)/(200000000000-500000000000)*('Khai toan 100-200'!E6-500000000000),3)</f>
        <v>0.42399999999999999</v>
      </c>
      <c r="E10" s="102"/>
    </row>
    <row r="13" spans="2:8" x14ac:dyDescent="0.25">
      <c r="B13" s="100" t="s">
        <v>17</v>
      </c>
    </row>
    <row r="15" spans="2:8" x14ac:dyDescent="0.25">
      <c r="B15" s="100" t="s">
        <v>107</v>
      </c>
      <c r="C15" s="102">
        <f>ROUND(0.046-(0.046-0.07)/(200000000000-500000000000)*('Khai toan 100-200'!E6-500000000000),3)</f>
        <v>7.4999999999999997E-2</v>
      </c>
    </row>
    <row r="18" spans="2:12" x14ac:dyDescent="0.25">
      <c r="B18" s="100" t="s">
        <v>106</v>
      </c>
      <c r="L18" s="100"/>
    </row>
    <row r="20" spans="2:12" x14ac:dyDescent="0.25">
      <c r="B20" s="100" t="s">
        <v>107</v>
      </c>
      <c r="C20" s="102">
        <f>ROUND(0.081-(0.081-0.102)/(200000000000-500000000000)*('Khai toan 100-200'!E6-500000000000),3)</f>
        <v>0.106</v>
      </c>
      <c r="L20" s="100"/>
    </row>
    <row r="23" spans="2:12" x14ac:dyDescent="0.25">
      <c r="B23" s="100" t="s">
        <v>20</v>
      </c>
      <c r="L23" s="100"/>
    </row>
    <row r="25" spans="2:12" x14ac:dyDescent="0.25">
      <c r="B25" s="100" t="s">
        <v>107</v>
      </c>
      <c r="C25" s="102">
        <f>ROUND(0.261-(0.261-0.305)/(200000000000-500000000000)*('Khai toan 100-200'!E6-500000000000),3)</f>
        <v>0.313</v>
      </c>
      <c r="L25" s="100"/>
    </row>
    <row r="28" spans="2:12" x14ac:dyDescent="0.25">
      <c r="B28" s="100" t="s">
        <v>22</v>
      </c>
      <c r="L28" s="100"/>
    </row>
    <row r="30" spans="2:12" x14ac:dyDescent="0.25">
      <c r="B30" s="100" t="s">
        <v>107</v>
      </c>
      <c r="C30" s="102">
        <f>ROUND(0.225-(0.225-0.375)/(100000000000-500000000000)*('Khai toan 100-200'!E6-500000000000),3)</f>
        <v>0.35899999999999999</v>
      </c>
      <c r="L30" s="100"/>
    </row>
    <row r="33" spans="2:12" x14ac:dyDescent="0.25">
      <c r="B33" s="100" t="s">
        <v>108</v>
      </c>
      <c r="L33" s="100"/>
    </row>
    <row r="35" spans="2:12" x14ac:dyDescent="0.25">
      <c r="B35" s="100" t="s">
        <v>107</v>
      </c>
      <c r="C35" s="102">
        <f>ROUND(0.325-(0.325-0.575)/(100000000000-500000000000)*('Khai toan 100-200'!E6-500000000000),3)</f>
        <v>0.54800000000000004</v>
      </c>
      <c r="L35" s="100"/>
    </row>
    <row r="38" spans="2:12" x14ac:dyDescent="0.25">
      <c r="B38" s="100" t="s">
        <v>24</v>
      </c>
      <c r="L38" s="100"/>
    </row>
    <row r="40" spans="2:12" x14ac:dyDescent="0.25">
      <c r="B40" s="100" t="s">
        <v>107</v>
      </c>
      <c r="C40" s="102">
        <f>ROUND(0.0075-(0.0075-0.01)/(200000000000-500000000000)*('Khai toan 100-200'!E6-500000000000),3)</f>
        <v>0.01</v>
      </c>
      <c r="L40" s="10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 LIEU</vt:lpstr>
      <vt:lpstr>GIA TRI DAU TU</vt:lpstr>
      <vt:lpstr>PHAN KY</vt:lpstr>
      <vt:lpstr>Khai toan 100-200</vt:lpstr>
      <vt:lpstr>100-200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CoHoa</cp:lastModifiedBy>
  <cp:lastPrinted>2020-03-03T00:31:42Z</cp:lastPrinted>
  <dcterms:created xsi:type="dcterms:W3CDTF">2019-08-19T00:07:34Z</dcterms:created>
  <dcterms:modified xsi:type="dcterms:W3CDTF">2020-03-18T10:39:27Z</dcterms:modified>
</cp:coreProperties>
</file>